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Sheet1!$B$1:$G$45</definedName>
    <definedName function="false" hidden="false" localSheetId="0" name="Excel_BuiltIn_Print_Area" vbProcedure="false">Sheet1!$B$1:$G$35</definedName>
    <definedName function="false" hidden="false" localSheetId="0" name="_xlnm_Print_Area" vbProcedure="false">Sheet1!$B$1:$G$35</definedName>
    <definedName function="false" hidden="false" localSheetId="0" name="_xlnm_Print_Area_0" vbProcedure="false">Sheet1!$B$1:$G$35</definedName>
    <definedName function="false" hidden="false" localSheetId="0" name="_xlnm_Print_Area_0_0" vbProcedure="false">Sheet1!$B$1:$G$35</definedName>
    <definedName function="false" hidden="false" localSheetId="0" name="_xlnm_Print_Area_0_0_0" vbProcedure="false">Sheet1!$B$1:$G$35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G23" authorId="0">
      <text>
        <r>
          <rPr>
            <sz val="10"/>
            <rFont val="Arial"/>
            <family val="2"/>
          </rPr>
          <t xml:space="preserve">Kirjoita      metrimäärä</t>
        </r>
      </text>
    </comment>
    <comment ref="G24" authorId="0">
      <text>
        <r>
          <rPr>
            <sz val="10"/>
            <rFont val="Arial"/>
            <family val="2"/>
          </rPr>
          <t xml:space="preserve"> VALITSE</t>
        </r>
      </text>
    </comment>
    <comment ref="G25" authorId="0">
      <text>
        <r>
          <rPr>
            <sz val="10"/>
            <rFont val="Arial"/>
            <family val="2"/>
          </rPr>
          <t xml:space="preserve"> VALITSE</t>
        </r>
      </text>
    </comment>
  </commentList>
</comments>
</file>

<file path=xl/sharedStrings.xml><?xml version="1.0" encoding="utf-8"?>
<sst xmlns="http://schemas.openxmlformats.org/spreadsheetml/2006/main" count="122" uniqueCount="100">
  <si>
    <t xml:space="preserve">Maalämpöpumpun keruupiirin painehäviön laskuri</t>
  </si>
  <si>
    <t xml:space="preserve">Soveltuu vain noin 28 p-% vesi -alkoholiliuokselle ja sileäpintaiselle (ei turbo) putkelle!</t>
  </si>
  <si>
    <t xml:space="preserve">( seppaant / ingalsuo )</t>
  </si>
  <si>
    <t xml:space="preserve">Forum ”JML_” kaivo 190 m, putkitus PE40x3,7(?), noin 400 m.</t>
  </si>
  <si>
    <t xml:space="preserve">Laske lämpöpumpulle tarvittava tilavuusvirtaus</t>
  </si>
  <si>
    <t xml:space="preserve">v. 17.39</t>
  </si>
  <si>
    <t xml:space="preserve">Laskettu</t>
  </si>
  <si>
    <t xml:space="preserve">Keruun lämpötila</t>
  </si>
  <si>
    <t xml:space="preserve">C</t>
  </si>
  <si>
    <t xml:space="preserve">Antoteho, kW</t>
  </si>
  <si>
    <t xml:space="preserve">Tilavuusvirtaus</t>
  </si>
  <si>
    <t xml:space="preserve">l/s</t>
  </si>
  <si>
    <t xml:space="preserve">COP</t>
  </si>
  <si>
    <t xml:space="preserve">Tämän laskelman oikeellisuutta ei taata!</t>
  </si>
  <si>
    <t xml:space="preserve">Kaivosta otettava teho</t>
  </si>
  <si>
    <t xml:space="preserve">ID</t>
  </si>
  <si>
    <t xml:space="preserve">m</t>
  </si>
  <si>
    <t xml:space="preserve">Sähköverkosta otettava teho</t>
  </si>
  <si>
    <t xml:space="preserve">Aukko</t>
  </si>
  <si>
    <t xml:space="preserve">m2</t>
  </si>
  <si>
    <t xml:space="preserve">Keruun Dt, astetta</t>
  </si>
  <si>
    <t xml:space="preserve">Tiheys</t>
  </si>
  <si>
    <t xml:space="preserve">kg/m3</t>
  </si>
  <si>
    <t xml:space="preserve">Ominaislämpö</t>
  </si>
  <si>
    <t xml:space="preserve">kJ/l</t>
  </si>
  <si>
    <t xml:space="preserve">Kaivojen lukumäärä</t>
  </si>
  <si>
    <t xml:space="preserve">Viskositeetti dyn</t>
  </si>
  <si>
    <t xml:space="preserve">Pa*s</t>
  </si>
  <si>
    <t xml:space="preserve">Maalämpökone tarvitsee virtaamaksi</t>
  </si>
  <si>
    <t xml:space="preserve">Virtaama</t>
  </si>
  <si>
    <t xml:space="preserve">Viskositeetti kin</t>
  </si>
  <si>
    <t xml:space="preserve">m2/s</t>
  </si>
  <si>
    <t xml:space="preserve">vähintäänkin :</t>
  </si>
  <si>
    <t xml:space="preserve">vähintään</t>
  </si>
  <si>
    <t xml:space="preserve">kaivoa kohden</t>
  </si>
  <si>
    <t xml:space="preserve">Tilavuusvirtaus, litraa sekunnissa</t>
  </si>
  <si>
    <t xml:space="preserve">Litraa/s</t>
  </si>
  <si>
    <t xml:space="preserve">Tilavuusvirtaus, litraa minuutissa</t>
  </si>
  <si>
    <t xml:space="preserve">Litraa/min</t>
  </si>
  <si>
    <t xml:space="preserve">Nopeus</t>
  </si>
  <si>
    <t xml:space="preserve">m/s</t>
  </si>
  <si>
    <t xml:space="preserve">Tilavuusvirtaus, kuutiometriä /h</t>
  </si>
  <si>
    <t xml:space="preserve">m3/tunti</t>
  </si>
  <si>
    <t xml:space="preserve">Reynolds</t>
  </si>
  <si>
    <t xml:space="preserve">Lami/turb alaraja-arvo L</t>
  </si>
  <si>
    <t xml:space="preserve">Re-1</t>
  </si>
  <si>
    <t xml:space="preserve">Keruupiirin painehäviö, kun virtaus on →</t>
  </si>
  <si>
    <t xml:space="preserve">Lami/turb yläraja-arvo T</t>
  </si>
  <si>
    <t xml:space="preserve">Re-2</t>
  </si>
  <si>
    <t xml:space="preserve">Anna tilavuusvirtaus litraa/sek</t>
  </si>
  <si>
    <t xml:space="preserve">Osuus 1</t>
  </si>
  <si>
    <t xml:space="preserve">Osuus 2</t>
  </si>
  <si>
    <t xml:space="preserve">Osuus 3</t>
  </si>
  <si>
    <t xml:space="preserve">Osuus 4</t>
  </si>
  <si>
    <t xml:space="preserve">Hr painehäviö lamin</t>
  </si>
  <si>
    <t xml:space="preserve">Anna putkiosuuden pituus</t>
  </si>
  <si>
    <t xml:space="preserve">metriä</t>
  </si>
  <si>
    <t xml:space="preserve">Hr painehäviö turb</t>
  </si>
  <si>
    <t xml:space="preserve">Montako putkea rinnakkain</t>
  </si>
  <si>
    <t xml:space="preserve">lukumäärä</t>
  </si>
  <si>
    <t xml:space="preserve">kPa</t>
  </si>
  <si>
    <t xml:space="preserve">Valitse putkityyppi</t>
  </si>
  <si>
    <t xml:space="preserve">tyyppi</t>
  </si>
  <si>
    <t xml:space="preserve">40x3.7</t>
  </si>
  <si>
    <t xml:space="preserve">40x2.4</t>
  </si>
  <si>
    <t xml:space="preserve">45x2.7</t>
  </si>
  <si>
    <t xml:space="preserve">Oma</t>
  </si>
  <si>
    <t xml:space="preserve">Ulkoläpimitta</t>
  </si>
  <si>
    <t xml:space="preserve">mm</t>
  </si>
  <si>
    <t xml:space="preserve">Virtaustyyppi</t>
  </si>
  <si>
    <t xml:space="preserve">T / L</t>
  </si>
  <si>
    <t xml:space="preserve">Seinämän paksuus</t>
  </si>
  <si>
    <t xml:space="preserve">Hr painehäviö</t>
  </si>
  <si>
    <t xml:space="preserve">Sisäläpimitta, ID</t>
  </si>
  <si>
    <t xml:space="preserve">Liukuu L → T</t>
  </si>
  <si>
    <t xml:space="preserve">Volyymi</t>
  </si>
  <si>
    <t xml:space="preserve">l/m</t>
  </si>
  <si>
    <t xml:space="preserve">Kokonaisvolyymi</t>
  </si>
  <si>
    <t xml:space="preserve">litraa</t>
  </si>
  <si>
    <t xml:space="preserve">Painehäviö, kiloPascalia</t>
  </si>
  <si>
    <t xml:space="preserve">Putkilinjan pituus yhteensä metriä</t>
  </si>
  <si>
    <t xml:space="preserve">Keruuputkiston nestetilavuus yhteensä</t>
  </si>
  <si>
    <t xml:space="preserve">Kiertoaika nimellisvirtauksella</t>
  </si>
  <si>
    <t xml:space="preserve">Painehäviö yhteensä, kPa</t>
  </si>
  <si>
    <t xml:space="preserve">Painehäviö yhteensä, bar</t>
  </si>
  <si>
    <r>
      <rPr>
        <b val="true"/>
        <sz val="13"/>
        <rFont val="Arial"/>
        <family val="2"/>
      </rPr>
      <t xml:space="preserve">Oma</t>
    </r>
    <r>
      <rPr>
        <sz val="13"/>
        <rFont val="Arial"/>
        <family val="2"/>
      </rPr>
      <t xml:space="preserve">  valinta keruuputkeksi</t>
    </r>
  </si>
  <si>
    <t xml:space="preserve">OD</t>
  </si>
  <si>
    <t xml:space="preserve">Seinämä</t>
  </si>
  <si>
    <t xml:space="preserve">Type</t>
  </si>
  <si>
    <t xml:space="preserve">32x2.0</t>
  </si>
  <si>
    <t xml:space="preserve">32x3.0</t>
  </si>
  <si>
    <t xml:space="preserve">40x2.5</t>
  </si>
  <si>
    <t xml:space="preserve">45x2.4</t>
  </si>
  <si>
    <t xml:space="preserve">45x3.0</t>
  </si>
  <si>
    <t xml:space="preserve">50x2.4</t>
  </si>
  <si>
    <t xml:space="preserve">50x3.0</t>
  </si>
  <si>
    <t xml:space="preserve">50x4.6</t>
  </si>
  <si>
    <t xml:space="preserve">63x3.8</t>
  </si>
  <si>
    <t xml:space="preserve">63x5.8</t>
  </si>
  <si>
    <t xml:space="preserve">GeoPipeM32</t>
  </si>
</sst>
</file>

<file path=xl/styles.xml><?xml version="1.0" encoding="utf-8"?>
<styleSheet xmlns="http://schemas.openxmlformats.org/spreadsheetml/2006/main">
  <numFmts count="31">
    <numFmt numFmtId="164" formatCode="General"/>
    <numFmt numFmtId="165" formatCode="#,##0.00\ [$€-40B];[RED]\-#,##0.00\ [$€-40B]"/>
    <numFmt numFmtId="166" formatCode="MM/DD/YYYY"/>
    <numFmt numFmtId="167" formatCode="#,##0.0&quot; C&quot;;[RED]\-#,##0.0&quot; C&quot;"/>
    <numFmt numFmtId="168" formatCode="#,##0.0&quot; kW&quot;;[RED]\-#,##0.0&quot; kW&quot;"/>
    <numFmt numFmtId="169" formatCode="#,##0.000&quot; l/s&quot;;[RED]\-#,##0.000&quot; l/s&quot;"/>
    <numFmt numFmtId="170" formatCode="#,##0.0&quot; COP&quot;;[RED]\-#,##0.0&quot; COP&quot;"/>
    <numFmt numFmtId="171" formatCode="0.000000"/>
    <numFmt numFmtId="172" formatCode="#,##0.0&quot; K&quot;;[RED]\-#,##0.0&quot; K&quot;"/>
    <numFmt numFmtId="173" formatCode="0.0"/>
    <numFmt numFmtId="174" formatCode="0.000"/>
    <numFmt numFmtId="175" formatCode="#,##0&quot; kpl&quot;;[RED]\-#,##0&quot; kpl&quot;"/>
    <numFmt numFmtId="176" formatCode="#,##0&quot; kaivoa&quot;;[RED]\-#,##0&quot; kaivoa&quot;"/>
    <numFmt numFmtId="177" formatCode="0.00000"/>
    <numFmt numFmtId="178" formatCode="0.000E+00"/>
    <numFmt numFmtId="179" formatCode="#,##0.0&quot; l/min&quot;;[RED]\-#,##0.0&quot; l/min&quot;"/>
    <numFmt numFmtId="180" formatCode="#,##0.00&quot; m3/h&quot;;[RED]\-#,##0.00&quot; m3/h&quot;"/>
    <numFmt numFmtId="181" formatCode="0.00"/>
    <numFmt numFmtId="182" formatCode="#,##0&quot; Re&quot;;[RED]\-#,##0&quot; Re&quot;"/>
    <numFmt numFmtId="183" formatCode="#,##0&quot; m&quot;;[RED]\-#,##0&quot; m&quot;"/>
    <numFmt numFmtId="184" formatCode="@"/>
    <numFmt numFmtId="185" formatCode="#,##0.0&quot; mm&quot;;[RED]\-#,##0.0&quot; mm&quot;"/>
    <numFmt numFmtId="186" formatCode="#,##0.0&quot; kPa&quot;;[RED]\-#,##0.0&quot; kPa&quot;"/>
    <numFmt numFmtId="187" formatCode="#,##0.00&quot; l/m&quot;;[RED]\-#,##0.00&quot; l/m&quot;"/>
    <numFmt numFmtId="188" formatCode="#,##0&quot; litraa&quot;;[RED]\-#,##0&quot; litraa&quot;"/>
    <numFmt numFmtId="189" formatCode="#,##0.00&quot; bar&quot;;[RED]\-#,##0.00&quot; bar&quot;"/>
    <numFmt numFmtId="190" formatCode="#,##0&quot; l&quot;;[RED]\-#,##0&quot; l&quot;"/>
    <numFmt numFmtId="191" formatCode="#,##0&quot; mm&quot;;[RED]\-#,##0&quot; mm&quot;"/>
    <numFmt numFmtId="192" formatCode="#,##0.000;[RED]\-#,##0.000"/>
    <numFmt numFmtId="193" formatCode="#,##0.0;[RED]\-#,##0.0"/>
    <numFmt numFmtId="194" formatCode="#,##0;[RED]\-#,##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0"/>
      <name val="Arial"/>
      <family val="2"/>
    </font>
    <font>
      <b val="true"/>
      <i val="true"/>
      <sz val="16"/>
      <name val="Arial"/>
      <family val="2"/>
    </font>
    <font>
      <b val="true"/>
      <sz val="12"/>
      <name val="Arial"/>
      <family val="2"/>
    </font>
    <font>
      <sz val="7"/>
      <name val="Arial"/>
      <family val="2"/>
    </font>
    <font>
      <b val="true"/>
      <sz val="10"/>
      <color rgb="FF000000"/>
      <name val="Calibri"/>
      <family val="2"/>
    </font>
    <font>
      <sz val="10"/>
      <color rgb="FF000000"/>
      <name val="Calibri"/>
      <family val="2"/>
    </font>
    <font>
      <b val="true"/>
      <sz val="13"/>
      <name val="Arial"/>
      <family val="2"/>
    </font>
    <font>
      <sz val="1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99"/>
        <bgColor rgb="FFC0C0C0"/>
      </patternFill>
    </fill>
    <fill>
      <patternFill patternType="solid">
        <fgColor rgb="FF00FF00"/>
        <bgColor rgb="FF33CCCC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CCFFFF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5" fontId="4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center" vertical="bottom" textRotation="0" wrapText="false" indent="0" shrinkToFit="false"/>
    </xf>
    <xf numFmtId="164" fontId="5" fillId="0" borderId="0" applyFont="true" applyBorder="false" applyAlignment="true" applyProtection="false">
      <alignment horizontal="center" vertical="bottom" textRotation="90" wrapText="false" indent="0" shrinkToFit="false"/>
    </xf>
  </cellStyleXfs>
  <cellXfs count="8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6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8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0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8" fillId="0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8" fontId="0" fillId="0" borderId="1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7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2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4" borderId="1" xfId="0" applyFont="fals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3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4" fontId="9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0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2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3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3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9" fontId="9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5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8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8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6" fontId="9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8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90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6" fontId="9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9" fontId="9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1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1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4" fontId="9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2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5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9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5" fontId="0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7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9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9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1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9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93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</cellXfs>
  <cellStyles count="1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Result" xfId="20" builtinId="53" customBuiltin="true"/>
    <cellStyle name="Result2" xfId="21" builtinId="53" customBuiltin="true"/>
    <cellStyle name="Heading" xfId="22" builtinId="53" customBuiltin="true"/>
    <cellStyle name="Heading1" xfId="23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56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C14" activeCellId="0" sqref="C14"/>
    </sheetView>
  </sheetViews>
  <sheetFormatPr defaultRowHeight="12.85" zeroHeight="false" outlineLevelRow="0" outlineLevelCol="0"/>
  <cols>
    <col collapsed="false" customWidth="true" hidden="false" outlineLevel="0" max="1" min="1" style="1" width="2.77"/>
    <col collapsed="false" customWidth="true" hidden="false" outlineLevel="0" max="2" min="2" style="1" width="29.37"/>
    <col collapsed="false" customWidth="true" hidden="false" outlineLevel="0" max="3" min="3" style="2" width="9.83"/>
    <col collapsed="false" customWidth="true" hidden="false" outlineLevel="0" max="7" min="4" style="2" width="12.25"/>
    <col collapsed="false" customWidth="true" hidden="false" outlineLevel="0" max="20" min="8" style="1" width="7.65"/>
    <col collapsed="false" customWidth="true" hidden="true" outlineLevel="0" max="21" min="21" style="3" width="19.79"/>
    <col collapsed="false" customWidth="true" hidden="true" outlineLevel="0" max="26" min="22" style="4" width="11.73"/>
    <col collapsed="false" customWidth="true" hidden="false" outlineLevel="0" max="257" min="27" style="1" width="10.03"/>
    <col collapsed="false" customWidth="true" hidden="false" outlineLevel="0" max="1025" min="258" style="0" width="10.03"/>
  </cols>
  <sheetData>
    <row r="1" customFormat="false" ht="12.85" hidden="false" customHeight="true" outlineLevel="0" collapsed="false">
      <c r="A1" s="5"/>
      <c r="B1" s="6"/>
      <c r="C1" s="7"/>
      <c r="D1" s="7"/>
      <c r="E1" s="7"/>
      <c r="F1" s="7"/>
      <c r="G1" s="7"/>
      <c r="H1" s="5"/>
      <c r="I1" s="5"/>
      <c r="J1" s="5"/>
      <c r="U1" s="8"/>
      <c r="V1" s="9"/>
      <c r="W1" s="9"/>
      <c r="X1" s="9"/>
      <c r="Y1" s="9"/>
      <c r="Z1" s="9"/>
    </row>
    <row r="2" customFormat="false" ht="17" hidden="false" customHeight="true" outlineLevel="0" collapsed="false">
      <c r="A2" s="5"/>
      <c r="B2" s="10" t="s">
        <v>0</v>
      </c>
      <c r="C2" s="10"/>
      <c r="D2" s="10"/>
      <c r="E2" s="10"/>
      <c r="F2" s="10"/>
      <c r="G2" s="10"/>
      <c r="H2" s="5"/>
      <c r="I2" s="5"/>
      <c r="J2" s="5"/>
    </row>
    <row r="3" customFormat="false" ht="14.65" hidden="false" customHeight="true" outlineLevel="0" collapsed="false">
      <c r="A3" s="5"/>
      <c r="B3" s="11" t="s">
        <v>1</v>
      </c>
      <c r="C3" s="11"/>
      <c r="D3" s="11"/>
      <c r="E3" s="11"/>
      <c r="F3" s="11"/>
      <c r="G3" s="11"/>
      <c r="H3" s="5"/>
      <c r="I3" s="5"/>
      <c r="J3" s="5"/>
    </row>
    <row r="4" customFormat="false" ht="14.65" hidden="false" customHeight="true" outlineLevel="0" collapsed="false">
      <c r="A4" s="5"/>
      <c r="B4" s="11"/>
      <c r="C4" s="7"/>
      <c r="D4" s="7"/>
      <c r="E4" s="7"/>
      <c r="F4" s="12" t="s">
        <v>2</v>
      </c>
      <c r="G4" s="12"/>
      <c r="H4" s="5"/>
      <c r="I4" s="5"/>
      <c r="J4" s="5"/>
    </row>
    <row r="5" customFormat="false" ht="55" hidden="false" customHeight="true" outlineLevel="0" collapsed="false">
      <c r="A5" s="5"/>
      <c r="B5" s="13" t="s">
        <v>3</v>
      </c>
      <c r="C5" s="13"/>
      <c r="D5" s="13"/>
      <c r="E5" s="13"/>
      <c r="F5" s="13"/>
      <c r="G5" s="13"/>
      <c r="H5" s="5"/>
      <c r="I5" s="5"/>
      <c r="J5" s="5"/>
    </row>
    <row r="6" customFormat="false" ht="14.65" hidden="false" customHeight="true" outlineLevel="0" collapsed="false">
      <c r="A6" s="5"/>
      <c r="B6" s="7"/>
      <c r="C6" s="7"/>
      <c r="D6" s="7"/>
      <c r="E6" s="7"/>
      <c r="F6" s="7"/>
      <c r="G6" s="7"/>
      <c r="H6" s="5"/>
      <c r="I6" s="5"/>
      <c r="J6" s="5"/>
      <c r="W6" s="4" t="str">
        <f aca="false">D25</f>
        <v>40x3.7</v>
      </c>
      <c r="X6" s="4" t="str">
        <f aca="false">E25</f>
        <v>40x2.4</v>
      </c>
      <c r="Y6" s="4" t="str">
        <f aca="false">F25</f>
        <v>45x2.7</v>
      </c>
      <c r="Z6" s="4" t="str">
        <f aca="false">G25</f>
        <v>Oma</v>
      </c>
    </row>
    <row r="7" customFormat="false" ht="12.85" hidden="false" customHeight="true" outlineLevel="0" collapsed="false">
      <c r="A7" s="5"/>
      <c r="B7" s="14" t="s">
        <v>4</v>
      </c>
      <c r="C7" s="14"/>
      <c r="D7" s="14"/>
      <c r="E7" s="15" t="s">
        <v>5</v>
      </c>
      <c r="F7" s="6" t="s">
        <v>6</v>
      </c>
      <c r="G7" s="16" t="n">
        <f aca="true">TODAY()</f>
        <v>41662</v>
      </c>
      <c r="H7" s="5"/>
      <c r="I7" s="5"/>
      <c r="J7" s="5"/>
      <c r="U7" s="3" t="s">
        <v>7</v>
      </c>
      <c r="V7" s="4" t="s">
        <v>8</v>
      </c>
      <c r="W7" s="17" t="n">
        <v>0</v>
      </c>
      <c r="X7" s="17" t="n">
        <v>0</v>
      </c>
      <c r="Y7" s="17" t="n">
        <v>0</v>
      </c>
      <c r="Z7" s="17" t="n">
        <v>0</v>
      </c>
    </row>
    <row r="8" customFormat="false" ht="14.65" hidden="false" customHeight="true" outlineLevel="0" collapsed="false">
      <c r="A8" s="5"/>
      <c r="B8" s="6" t="s">
        <v>9</v>
      </c>
      <c r="C8" s="18" t="n">
        <v>10</v>
      </c>
      <c r="D8" s="19" t="n">
        <f aca="false">C8</f>
        <v>10</v>
      </c>
      <c r="E8" s="20"/>
      <c r="F8" s="20"/>
      <c r="G8" s="7"/>
      <c r="H8" s="5"/>
      <c r="I8" s="5"/>
      <c r="J8" s="5"/>
      <c r="U8" s="3" t="s">
        <v>10</v>
      </c>
      <c r="V8" s="4" t="s">
        <v>11</v>
      </c>
      <c r="W8" s="21" t="n">
        <f aca="false">$C22</f>
        <v>0.569978489507439</v>
      </c>
      <c r="X8" s="21" t="n">
        <f aca="false">$C22</f>
        <v>0.569978489507439</v>
      </c>
      <c r="Y8" s="21" t="n">
        <f aca="false">$C22</f>
        <v>0.569978489507439</v>
      </c>
      <c r="Z8" s="21" t="n">
        <f aca="false">$C22</f>
        <v>0.569978489507439</v>
      </c>
    </row>
    <row r="9" customFormat="false" ht="12.85" hidden="false" customHeight="true" outlineLevel="0" collapsed="false">
      <c r="A9" s="5"/>
      <c r="B9" s="6" t="s">
        <v>12</v>
      </c>
      <c r="C9" s="18" t="n">
        <v>3.3</v>
      </c>
      <c r="D9" s="22" t="n">
        <f aca="false">C9</f>
        <v>3.3</v>
      </c>
      <c r="E9" s="20"/>
      <c r="F9" s="23" t="s">
        <v>13</v>
      </c>
      <c r="G9" s="23"/>
      <c r="H9" s="5"/>
      <c r="I9" s="5"/>
      <c r="J9" s="5"/>
      <c r="U9" s="24"/>
      <c r="V9" s="25"/>
      <c r="W9" s="25"/>
      <c r="X9" s="25"/>
      <c r="Y9" s="25"/>
      <c r="Z9" s="25"/>
    </row>
    <row r="10" customFormat="false" ht="14.65" hidden="false" customHeight="true" outlineLevel="0" collapsed="false">
      <c r="A10" s="5"/>
      <c r="B10" s="26" t="s">
        <v>14</v>
      </c>
      <c r="C10" s="26"/>
      <c r="D10" s="19" t="n">
        <f aca="false">D8-D8/D9</f>
        <v>6.96969696969697</v>
      </c>
      <c r="E10" s="7"/>
      <c r="F10" s="23"/>
      <c r="G10" s="23"/>
      <c r="H10" s="5"/>
      <c r="I10" s="5"/>
      <c r="J10" s="5"/>
      <c r="U10" s="3" t="s">
        <v>15</v>
      </c>
      <c r="V10" s="4" t="s">
        <v>16</v>
      </c>
      <c r="W10" s="4" t="n">
        <f aca="false">D28/1000</f>
        <v>0.0326</v>
      </c>
      <c r="X10" s="4" t="n">
        <f aca="false">E28/1000</f>
        <v>0.0352</v>
      </c>
      <c r="Y10" s="4" t="n">
        <f aca="false">F28/1000</f>
        <v>0.0396</v>
      </c>
      <c r="Z10" s="4" t="n">
        <f aca="false">G28/1000</f>
        <v>0.0326</v>
      </c>
    </row>
    <row r="11" customFormat="false" ht="14.65" hidden="false" customHeight="true" outlineLevel="0" collapsed="false">
      <c r="A11" s="5"/>
      <c r="B11" s="6" t="s">
        <v>17</v>
      </c>
      <c r="C11" s="6"/>
      <c r="D11" s="27" t="n">
        <f aca="false">D8-D10</f>
        <v>3.03030303030303</v>
      </c>
      <c r="E11" s="28"/>
      <c r="F11" s="23"/>
      <c r="G11" s="23"/>
      <c r="H11" s="5"/>
      <c r="I11" s="5"/>
      <c r="J11" s="5"/>
      <c r="U11" s="3" t="s">
        <v>18</v>
      </c>
      <c r="V11" s="4" t="s">
        <v>19</v>
      </c>
      <c r="W11" s="29" t="n">
        <f aca="false">PI()*POWER(W10/2,2)</f>
        <v>0.000834689752132272</v>
      </c>
      <c r="X11" s="29" t="n">
        <f aca="false">PI()*POWER(X10/2,2)</f>
        <v>0.000973139740375974</v>
      </c>
      <c r="Y11" s="29" t="n">
        <f aca="false">PI()*POWER(Y10/2,2)</f>
        <v>0.00123162998391334</v>
      </c>
      <c r="Z11" s="29" t="n">
        <f aca="false">PI()*POWER(Z10/2,2)</f>
        <v>0.000834689752132272</v>
      </c>
    </row>
    <row r="12" customFormat="false" ht="14.65" hidden="false" customHeight="true" outlineLevel="0" collapsed="false">
      <c r="A12" s="5"/>
      <c r="B12" s="6" t="s">
        <v>20</v>
      </c>
      <c r="C12" s="18" t="n">
        <v>3</v>
      </c>
      <c r="D12" s="30" t="n">
        <f aca="false">C12</f>
        <v>3</v>
      </c>
      <c r="E12" s="7"/>
      <c r="F12" s="23"/>
      <c r="G12" s="23"/>
      <c r="H12" s="5"/>
      <c r="I12" s="5"/>
      <c r="J12" s="5"/>
      <c r="U12" s="3" t="s">
        <v>21</v>
      </c>
      <c r="V12" s="4" t="s">
        <v>22</v>
      </c>
      <c r="W12" s="31" t="n">
        <f aca="false">0.00005833*W7^3-0.004429*W7^2-0.4558*W7+967.6</f>
        <v>967.6</v>
      </c>
      <c r="X12" s="31" t="n">
        <f aca="false">0.00005833*X7^3-0.004429*X7^2-0.4558*X7+967.6</f>
        <v>967.6</v>
      </c>
      <c r="Y12" s="31" t="n">
        <f aca="false">0.00005833*Y7^3-0.004429*Y7^2-0.4558*Y7+967.6</f>
        <v>967.6</v>
      </c>
      <c r="Z12" s="31" t="n">
        <f aca="false">0.00005833*Z7^3-0.004429*Z7^2-0.4558*Z7+967.6</f>
        <v>967.6</v>
      </c>
    </row>
    <row r="13" customFormat="false" ht="14.65" hidden="false" customHeight="true" outlineLevel="0" collapsed="false">
      <c r="A13" s="5"/>
      <c r="B13" s="6" t="s">
        <v>23</v>
      </c>
      <c r="C13" s="7" t="s">
        <v>24</v>
      </c>
      <c r="D13" s="32" t="n">
        <f aca="false">0.000002109*W7*W7*W7-0.0000904*W7*W7+0.0007014*W7+4.076</f>
        <v>4.076</v>
      </c>
      <c r="E13" s="7"/>
      <c r="F13" s="23"/>
      <c r="G13" s="23"/>
      <c r="H13" s="5"/>
      <c r="I13" s="5"/>
      <c r="J13" s="5"/>
      <c r="W13" s="31"/>
      <c r="X13" s="31"/>
      <c r="Y13" s="31"/>
      <c r="Z13" s="31"/>
    </row>
    <row r="14" customFormat="false" ht="14.65" hidden="false" customHeight="true" outlineLevel="0" collapsed="false">
      <c r="A14" s="5"/>
      <c r="B14" s="28" t="s">
        <v>25</v>
      </c>
      <c r="C14" s="33" t="n">
        <v>1</v>
      </c>
      <c r="D14" s="34" t="str">
        <f aca="false">"Valittu "&amp;C14&amp;" kpl"</f>
        <v>Valittu 1 kpl</v>
      </c>
      <c r="E14" s="35" t="str">
        <f aca="false">IF(C14&lt;2,C14&amp;" kaivo",C14&amp;" kaivoa")</f>
        <v>1 kaivo</v>
      </c>
      <c r="F14" s="28"/>
      <c r="G14" s="28"/>
      <c r="H14" s="5"/>
      <c r="I14" s="5"/>
      <c r="J14" s="5"/>
      <c r="U14" s="3" t="s">
        <v>26</v>
      </c>
      <c r="V14" s="4" t="s">
        <v>27</v>
      </c>
      <c r="W14" s="36" t="n">
        <f aca="false">(-0.000332*W7^3+0.0137*W7^2-0.358*W7+6.48)/1000</f>
        <v>0.00648</v>
      </c>
      <c r="X14" s="36" t="n">
        <f aca="false">(-0.000332*E10^3+0.0137*E10^2-0.358*E10+6.48)/1000</f>
        <v>0.00648</v>
      </c>
      <c r="Y14" s="36" t="n">
        <f aca="false">(-0.000332*F10^3+0.0137*F10^2-0.358*F10+6.48)/1000</f>
        <v>0.00648</v>
      </c>
      <c r="Z14" s="36" t="n">
        <f aca="false">(-0.000332*G10^3+0.0137*G10^2-0.358*G10+6.48)/1000</f>
        <v>0.00648</v>
      </c>
    </row>
    <row r="15" customFormat="false" ht="14.65" hidden="false" customHeight="true" outlineLevel="0" collapsed="false">
      <c r="A15" s="5"/>
      <c r="B15" s="6" t="s">
        <v>28</v>
      </c>
      <c r="C15" s="37"/>
      <c r="D15" s="38" t="s">
        <v>29</v>
      </c>
      <c r="E15" s="38" t="s">
        <v>29</v>
      </c>
      <c r="F15" s="23"/>
      <c r="G15" s="23"/>
      <c r="H15" s="5"/>
      <c r="I15" s="5"/>
      <c r="J15" s="5"/>
      <c r="U15" s="3" t="s">
        <v>30</v>
      </c>
      <c r="V15" s="4" t="s">
        <v>31</v>
      </c>
      <c r="W15" s="39" t="n">
        <f aca="false">W14/W12</f>
        <v>6.69698222405953E-006</v>
      </c>
      <c r="X15" s="39" t="n">
        <f aca="false">X14/X12</f>
        <v>6.69698222405953E-006</v>
      </c>
      <c r="Y15" s="39" t="n">
        <f aca="false">Y14/Y12</f>
        <v>6.69698222405953E-006</v>
      </c>
      <c r="Z15" s="39" t="n">
        <f aca="false">Z14/Z12</f>
        <v>6.69698222405953E-006</v>
      </c>
    </row>
    <row r="16" customFormat="false" ht="14.65" hidden="false" customHeight="true" outlineLevel="0" collapsed="false">
      <c r="A16" s="5"/>
      <c r="B16" s="37" t="s">
        <v>32</v>
      </c>
      <c r="C16" s="7"/>
      <c r="D16" s="40" t="s">
        <v>33</v>
      </c>
      <c r="E16" s="41" t="s">
        <v>34</v>
      </c>
      <c r="F16" s="23"/>
      <c r="G16" s="23"/>
      <c r="H16" s="5"/>
      <c r="I16" s="5"/>
      <c r="J16" s="5"/>
      <c r="W16" s="39"/>
      <c r="X16" s="39"/>
      <c r="Y16" s="39"/>
      <c r="Z16" s="39"/>
    </row>
    <row r="17" customFormat="false" ht="14.65" hidden="false" customHeight="true" outlineLevel="0" collapsed="false">
      <c r="A17" s="5"/>
      <c r="B17" s="6" t="s">
        <v>35</v>
      </c>
      <c r="C17" s="7" t="s">
        <v>36</v>
      </c>
      <c r="D17" s="42" t="n">
        <f aca="false">D10/D12/D13</f>
        <v>0.569978489507439</v>
      </c>
      <c r="E17" s="43" t="n">
        <f aca="false">D17/C$14</f>
        <v>0.569978489507439</v>
      </c>
      <c r="F17" s="23"/>
      <c r="G17" s="23"/>
      <c r="H17" s="5"/>
      <c r="I17" s="5"/>
      <c r="J17" s="5"/>
      <c r="W17" s="39"/>
      <c r="X17" s="39"/>
      <c r="Y17" s="39"/>
      <c r="Z17" s="39"/>
    </row>
    <row r="18" customFormat="false" ht="12.85" hidden="false" customHeight="true" outlineLevel="0" collapsed="false">
      <c r="A18" s="5"/>
      <c r="B18" s="6" t="s">
        <v>37</v>
      </c>
      <c r="C18" s="7" t="s">
        <v>38</v>
      </c>
      <c r="D18" s="44" t="n">
        <f aca="false">60*D17</f>
        <v>34.1987093704464</v>
      </c>
      <c r="E18" s="45" t="n">
        <f aca="false">D18/C$14</f>
        <v>34.1987093704464</v>
      </c>
      <c r="F18" s="7"/>
      <c r="G18" s="7"/>
      <c r="H18" s="0"/>
      <c r="I18" s="0"/>
      <c r="J18" s="5"/>
      <c r="U18" s="3" t="s">
        <v>39</v>
      </c>
      <c r="V18" s="4" t="s">
        <v>40</v>
      </c>
      <c r="W18" s="46" t="n">
        <f aca="false">(W8/W11/1000)/D24</f>
        <v>0.682862690061056</v>
      </c>
      <c r="X18" s="46" t="n">
        <f aca="false">(X8/X11/1000)/E24</f>
        <v>0.585710834589108</v>
      </c>
      <c r="Y18" s="46" t="n">
        <f aca="false">(Y8/Y11/1000)/F24</f>
        <v>0.462783869304974</v>
      </c>
      <c r="Z18" s="46" t="n">
        <f aca="false">(Z8/Z11/1000)/G24</f>
        <v>0.682862690061056</v>
      </c>
    </row>
    <row r="19" customFormat="false" ht="12.85" hidden="false" customHeight="true" outlineLevel="0" collapsed="false">
      <c r="A19" s="5"/>
      <c r="B19" s="6" t="s">
        <v>41</v>
      </c>
      <c r="C19" s="7" t="s">
        <v>42</v>
      </c>
      <c r="D19" s="47" t="n">
        <f aca="false">60*D18/1000</f>
        <v>2.05192256222678</v>
      </c>
      <c r="E19" s="48" t="n">
        <f aca="false">D19/C$14</f>
        <v>2.05192256222678</v>
      </c>
      <c r="F19" s="7"/>
      <c r="G19" s="7"/>
      <c r="H19" s="0"/>
      <c r="I19" s="0"/>
      <c r="J19" s="5"/>
      <c r="U19" s="3" t="s">
        <v>43</v>
      </c>
      <c r="V19" s="49"/>
      <c r="W19" s="50" t="n">
        <f aca="false">W18*W10/W15</f>
        <v>3324.08284077783</v>
      </c>
      <c r="X19" s="50" t="n">
        <f aca="false">X18*X10/X15</f>
        <v>3078.55399458401</v>
      </c>
      <c r="Y19" s="50" t="n">
        <f aca="false">Y18*Y10/Y15</f>
        <v>2736.49243963023</v>
      </c>
      <c r="Z19" s="50" t="n">
        <f aca="false">Z18*Z10/Z15</f>
        <v>3324.08284077783</v>
      </c>
    </row>
    <row r="20" customFormat="false" ht="14.65" hidden="false" customHeight="true" outlineLevel="0" collapsed="false">
      <c r="A20" s="5"/>
      <c r="B20" s="7"/>
      <c r="C20" s="7"/>
      <c r="D20" s="7"/>
      <c r="E20" s="7"/>
      <c r="F20" s="7"/>
      <c r="G20" s="7"/>
      <c r="H20" s="0"/>
      <c r="I20" s="0"/>
      <c r="J20" s="5"/>
      <c r="U20" s="3" t="s">
        <v>44</v>
      </c>
      <c r="V20" s="50" t="s">
        <v>45</v>
      </c>
      <c r="W20" s="4" t="n">
        <f aca="false">VLOOKUP(W6,$U42:$Z56,5,1)</f>
        <v>1100</v>
      </c>
      <c r="X20" s="4" t="n">
        <f aca="false">VLOOKUP(X6,$U42:$Z56,5,1)</f>
        <v>1100</v>
      </c>
      <c r="Y20" s="4" t="n">
        <f aca="false">VLOOKUP(Y6,$U42:$Z56,5,1)</f>
        <v>1100</v>
      </c>
      <c r="Z20" s="4" t="n">
        <f aca="false">VLOOKUP(Z6,$U42:$Z56,5,1)</f>
        <v>1100</v>
      </c>
    </row>
    <row r="21" customFormat="false" ht="14.65" hidden="false" customHeight="true" outlineLevel="0" collapsed="false">
      <c r="A21" s="5"/>
      <c r="B21" s="51" t="s">
        <v>46</v>
      </c>
      <c r="C21" s="51"/>
      <c r="D21" s="51"/>
      <c r="E21" s="52" t="n">
        <f aca="false">C22</f>
        <v>0.569978489507439</v>
      </c>
      <c r="F21" s="53" t="n">
        <f aca="false">60*E21</f>
        <v>34.1987093704464</v>
      </c>
      <c r="G21" s="54" t="n">
        <f aca="false">60*F21/1000</f>
        <v>2.05192256222678</v>
      </c>
      <c r="H21" s="0"/>
      <c r="I21" s="0"/>
      <c r="J21" s="5"/>
      <c r="U21" s="3" t="s">
        <v>47</v>
      </c>
      <c r="V21" s="50" t="s">
        <v>48</v>
      </c>
      <c r="W21" s="4" t="n">
        <f aca="false">VLOOKUP(W6,$U42:$Z56,6,1)</f>
        <v>3700</v>
      </c>
      <c r="X21" s="4" t="n">
        <f aca="false">VLOOKUP(X6,$U42:$Z56,6,1)</f>
        <v>3700</v>
      </c>
      <c r="Y21" s="4" t="n">
        <f aca="false">VLOOKUP(Y6,$U42:$Z56,6,1)</f>
        <v>3700</v>
      </c>
      <c r="Z21" s="4" t="n">
        <f aca="false">VLOOKUP(Z6,$U42:$Z56,6,1)</f>
        <v>3700</v>
      </c>
    </row>
    <row r="22" customFormat="false" ht="14.65" hidden="false" customHeight="true" outlineLevel="0" collapsed="false">
      <c r="A22" s="5"/>
      <c r="B22" s="6" t="s">
        <v>49</v>
      </c>
      <c r="C22" s="55" t="n">
        <f aca="false">E17</f>
        <v>0.569978489507439</v>
      </c>
      <c r="D22" s="56" t="s">
        <v>50</v>
      </c>
      <c r="E22" s="56" t="s">
        <v>51</v>
      </c>
      <c r="F22" s="56" t="s">
        <v>52</v>
      </c>
      <c r="G22" s="56" t="s">
        <v>53</v>
      </c>
      <c r="H22" s="0"/>
      <c r="I22" s="0"/>
      <c r="J22" s="5"/>
      <c r="U22" s="3" t="s">
        <v>54</v>
      </c>
      <c r="V22" s="4" t="s">
        <v>16</v>
      </c>
      <c r="W22" s="46" t="n">
        <f aca="false">(64*D23*POWER(W18,2))/(W19*W10*2*9.82)</f>
        <v>5.6088756600324</v>
      </c>
      <c r="X22" s="46" t="n">
        <f aca="false">(64*E23*POWER(X18,2))/(X19*X10*2*9.82)</f>
        <v>0.309483017219217</v>
      </c>
      <c r="Y22" s="46" t="n">
        <f aca="false">(64*F23*POWER(Y18,2))/(Y19*Y10*2*9.82)</f>
        <v>0</v>
      </c>
      <c r="Z22" s="46" t="n">
        <f aca="false">(64*G23*POWER(Z18,2))/(Z19*Z10*2*9.82)</f>
        <v>0</v>
      </c>
    </row>
    <row r="23" customFormat="false" ht="14.65" hidden="false" customHeight="true" outlineLevel="0" collapsed="false">
      <c r="A23" s="5"/>
      <c r="B23" s="6" t="s">
        <v>55</v>
      </c>
      <c r="C23" s="7" t="s">
        <v>56</v>
      </c>
      <c r="D23" s="57" t="n">
        <v>400</v>
      </c>
      <c r="E23" s="57" t="n">
        <v>30</v>
      </c>
      <c r="F23" s="57" t="n">
        <v>0</v>
      </c>
      <c r="G23" s="57" t="n">
        <v>0</v>
      </c>
      <c r="H23" s="0"/>
      <c r="I23" s="0"/>
      <c r="J23" s="5"/>
      <c r="U23" s="3" t="s">
        <v>57</v>
      </c>
      <c r="V23" s="4" t="s">
        <v>16</v>
      </c>
      <c r="W23" s="46" t="n">
        <f aca="false">0.34844*POWER(W19,-0.25959)*D23*POWER(W18,2)/(W10*2*9.82)</f>
        <v>12.3681541521332</v>
      </c>
      <c r="X23" s="46" t="n">
        <f aca="false">0.34844*POWER(X19,-0.25959)*E23*POWER(X18,2)/(X10*2*9.82)</f>
        <v>0.644750502143161</v>
      </c>
      <c r="Y23" s="46" t="n">
        <f aca="false">0.34844*POWER(Y19,-0.25959)*F23*POWER(Y18,2)/(Y10*2*9.82)</f>
        <v>0</v>
      </c>
      <c r="Z23" s="46" t="n">
        <f aca="false">0.34844*POWER(Z19,-0.25959)*G23*POWER(Z18,2)/(Z10*2*9.82)</f>
        <v>0</v>
      </c>
    </row>
    <row r="24" customFormat="false" ht="14.65" hidden="false" customHeight="true" outlineLevel="0" collapsed="false">
      <c r="A24" s="5"/>
      <c r="B24" s="6" t="s">
        <v>58</v>
      </c>
      <c r="C24" s="7" t="s">
        <v>59</v>
      </c>
      <c r="D24" s="58" t="n">
        <v>1</v>
      </c>
      <c r="E24" s="58" t="n">
        <v>1</v>
      </c>
      <c r="F24" s="58" t="n">
        <v>1</v>
      </c>
      <c r="G24" s="58" t="n">
        <v>1</v>
      </c>
      <c r="H24" s="0"/>
      <c r="I24" s="0"/>
      <c r="J24" s="5"/>
      <c r="U24" s="3" t="s">
        <v>54</v>
      </c>
      <c r="V24" s="4" t="s">
        <v>60</v>
      </c>
      <c r="W24" s="31" t="n">
        <f aca="false">W12*9.82*W22/1000</f>
        <v>53.294594230517</v>
      </c>
      <c r="X24" s="31" t="n">
        <f aca="false">X12*9.82*X22/1000</f>
        <v>2.94065563647011</v>
      </c>
      <c r="Y24" s="31" t="n">
        <f aca="false">Y12*9.82*Y22/1000</f>
        <v>0</v>
      </c>
      <c r="Z24" s="31" t="n">
        <f aca="false">Z12*9.82*Z22/1000</f>
        <v>0</v>
      </c>
    </row>
    <row r="25" customFormat="false" ht="14.65" hidden="false" customHeight="true" outlineLevel="0" collapsed="false">
      <c r="A25" s="5"/>
      <c r="B25" s="6" t="s">
        <v>61</v>
      </c>
      <c r="C25" s="7" t="s">
        <v>62</v>
      </c>
      <c r="D25" s="59" t="s">
        <v>63</v>
      </c>
      <c r="E25" s="59" t="s">
        <v>64</v>
      </c>
      <c r="F25" s="59" t="s">
        <v>65</v>
      </c>
      <c r="G25" s="59" t="s">
        <v>66</v>
      </c>
      <c r="H25" s="0"/>
      <c r="I25" s="0"/>
      <c r="J25" s="5"/>
      <c r="U25" s="3" t="s">
        <v>57</v>
      </c>
      <c r="V25" s="4" t="s">
        <v>60</v>
      </c>
      <c r="W25" s="31" t="n">
        <f aca="false">W12*9.82*W23/1000</f>
        <v>117.520122903673</v>
      </c>
      <c r="X25" s="31" t="n">
        <f aca="false">X12*9.82*X23/1000</f>
        <v>6.12631095327996</v>
      </c>
      <c r="Y25" s="31" t="n">
        <f aca="false">Y12*9.82*Y23/1000</f>
        <v>0</v>
      </c>
      <c r="Z25" s="31" t="n">
        <f aca="false">Z12*9.82*Z23/1000</f>
        <v>0</v>
      </c>
    </row>
    <row r="26" customFormat="false" ht="14.65" hidden="false" customHeight="true" outlineLevel="0" collapsed="false">
      <c r="A26" s="5"/>
      <c r="B26" s="6" t="s">
        <v>67</v>
      </c>
      <c r="C26" s="7" t="s">
        <v>68</v>
      </c>
      <c r="D26" s="60" t="n">
        <f aca="false">VLOOKUP(D25,$U$42:$X$56,2)</f>
        <v>40</v>
      </c>
      <c r="E26" s="60" t="n">
        <f aca="false">VLOOKUP(E25,$U$42:$X$56,2)</f>
        <v>40</v>
      </c>
      <c r="F26" s="60" t="n">
        <f aca="false">VLOOKUP(F25,$U$42:$X$56,2)</f>
        <v>45</v>
      </c>
      <c r="G26" s="60" t="n">
        <f aca="false">VLOOKUP(G25,$U$42:$X$56,2)</f>
        <v>40</v>
      </c>
      <c r="H26" s="0"/>
      <c r="I26" s="0"/>
      <c r="J26" s="5"/>
      <c r="U26" s="24" t="s">
        <v>69</v>
      </c>
      <c r="V26" s="25" t="s">
        <v>70</v>
      </c>
      <c r="W26" s="25" t="str">
        <f aca="false">IF(W19&gt;W20,"Turbulent","Laminar")</f>
        <v>Turbulent</v>
      </c>
      <c r="X26" s="25" t="str">
        <f aca="false">IF(X19&gt;X20,"Turbulent","Laminar")</f>
        <v>Turbulent</v>
      </c>
      <c r="Y26" s="25" t="str">
        <f aca="false">IF(Y19&gt;Y20,"Turbulent","Laminar")</f>
        <v>Turbulent</v>
      </c>
      <c r="Z26" s="25" t="str">
        <f aca="false">IF(Z19&gt;Z20,"Turbulent","Laminar")</f>
        <v>Turbulent</v>
      </c>
    </row>
    <row r="27" customFormat="false" ht="14.65" hidden="false" customHeight="true" outlineLevel="0" collapsed="false">
      <c r="A27" s="5"/>
      <c r="B27" s="6" t="s">
        <v>71</v>
      </c>
      <c r="C27" s="7" t="s">
        <v>68</v>
      </c>
      <c r="D27" s="60" t="n">
        <f aca="false">VLOOKUP(D25,$U$42:$X$56,3)</f>
        <v>3.7</v>
      </c>
      <c r="E27" s="60" t="n">
        <f aca="false">VLOOKUP(E25,$U$42:$X$56,3)</f>
        <v>2.4</v>
      </c>
      <c r="F27" s="60" t="n">
        <f aca="false">VLOOKUP(F25,$U$42:$X$56,3)</f>
        <v>2.7</v>
      </c>
      <c r="G27" s="60" t="n">
        <f aca="false">VLOOKUP(G25,$U$42:$X$56,3)</f>
        <v>3.7</v>
      </c>
      <c r="H27" s="0"/>
      <c r="I27" s="0"/>
      <c r="J27" s="5"/>
      <c r="U27" s="24" t="s">
        <v>72</v>
      </c>
      <c r="V27" s="25" t="s">
        <v>60</v>
      </c>
      <c r="W27" s="61" t="n">
        <f aca="false">IF(W19&gt;W20,W25,W24)</f>
        <v>117.520122903673</v>
      </c>
      <c r="X27" s="61" t="n">
        <f aca="false">IF(X19&gt;X20,X25,X24)</f>
        <v>6.12631095327996</v>
      </c>
      <c r="Y27" s="61" t="n">
        <f aca="false">IF(Y19&gt;Y20,Y25,Y24)</f>
        <v>0</v>
      </c>
      <c r="Z27" s="61" t="n">
        <f aca="false">IF(Z19&gt;Z20,Z25,Z24)</f>
        <v>0</v>
      </c>
    </row>
    <row r="28" customFormat="false" ht="14.65" hidden="false" customHeight="true" outlineLevel="0" collapsed="false">
      <c r="A28" s="5"/>
      <c r="B28" s="6" t="s">
        <v>73</v>
      </c>
      <c r="C28" s="7" t="s">
        <v>68</v>
      </c>
      <c r="D28" s="60" t="n">
        <f aca="false">VLOOKUP(D25,$U$42:$Z$56,4)</f>
        <v>32.6</v>
      </c>
      <c r="E28" s="60" t="n">
        <f aca="false">VLOOKUP(E25,$U$42:$Z$56,4)</f>
        <v>35.2</v>
      </c>
      <c r="F28" s="60" t="n">
        <f aca="false">VLOOKUP(F25,$U$42:$Z$56,4)</f>
        <v>39.6</v>
      </c>
      <c r="G28" s="60" t="n">
        <f aca="false">VLOOKUP(G25,$U$42:$Z$56,4)</f>
        <v>32.6</v>
      </c>
      <c r="H28" s="0"/>
      <c r="I28" s="0"/>
      <c r="J28" s="5"/>
      <c r="U28" s="24" t="s">
        <v>74</v>
      </c>
      <c r="V28" s="25" t="s">
        <v>60</v>
      </c>
      <c r="W28" s="61" t="n">
        <f aca="false">IF(W19&gt;W21,W25,IF(W19&gt;W20,(W19-W20)*(W25-W24)/(W21-W20)+W24,W24))</f>
        <v>108.234169715844</v>
      </c>
      <c r="X28" s="61" t="n">
        <f aca="false">IF(X19&gt;X21,X25,IF(X19&gt;X20,(X19-X20)*(X25-X24)/(X21-X20)+X24,X24))</f>
        <v>5.36488296433239</v>
      </c>
      <c r="Y28" s="61" t="n">
        <f aca="false">IF(Y19&gt;Y21,Y25,IF(Y19&gt;Y20,(Y19-Y20)*(Y25-Y24)/(Y21-Y20)+Y24,Y24))</f>
        <v>0</v>
      </c>
      <c r="Z28" s="61" t="n">
        <f aca="false">IF(Z19&gt;Z21,Z25,IF(Z19&gt;Z20,(Z19-Z20)*(Z25-Z24)/(Z21-Z20)+Z24,Z24))</f>
        <v>0</v>
      </c>
    </row>
    <row r="29" customFormat="false" ht="14.65" hidden="false" customHeight="true" outlineLevel="0" collapsed="false">
      <c r="A29" s="5"/>
      <c r="B29" s="28" t="s">
        <v>75</v>
      </c>
      <c r="C29" s="7" t="s">
        <v>76</v>
      </c>
      <c r="D29" s="62" t="n">
        <f aca="false">W32</f>
        <v>0.834689752132272</v>
      </c>
      <c r="E29" s="62" t="n">
        <f aca="false">X32</f>
        <v>0.973139740375974</v>
      </c>
      <c r="F29" s="62" t="n">
        <f aca="false">Y32</f>
        <v>1.23162998391334</v>
      </c>
      <c r="G29" s="62" t="n">
        <f aca="false">Z32</f>
        <v>0.834689752132272</v>
      </c>
      <c r="H29" s="5"/>
      <c r="I29" s="5"/>
      <c r="J29" s="5"/>
    </row>
    <row r="30" customFormat="false" ht="12.85" hidden="false" customHeight="true" outlineLevel="0" collapsed="false">
      <c r="A30" s="5"/>
      <c r="B30" s="28" t="s">
        <v>77</v>
      </c>
      <c r="C30" s="7" t="s">
        <v>78</v>
      </c>
      <c r="D30" s="63" t="n">
        <f aca="false">D24*D23*D29</f>
        <v>333.875900852909</v>
      </c>
      <c r="E30" s="63" t="n">
        <f aca="false">E24*E23*E29</f>
        <v>29.1941922112792</v>
      </c>
      <c r="F30" s="63" t="n">
        <f aca="false">F24*F23*F29</f>
        <v>0</v>
      </c>
      <c r="G30" s="63" t="n">
        <f aca="false">G24*G23*G29</f>
        <v>0</v>
      </c>
      <c r="H30" s="5"/>
      <c r="I30" s="5"/>
      <c r="J30" s="5"/>
      <c r="Y30" s="64"/>
      <c r="Z30" s="65"/>
    </row>
    <row r="31" customFormat="false" ht="12.85" hidden="false" customHeight="true" outlineLevel="0" collapsed="false">
      <c r="A31" s="5"/>
      <c r="B31" s="6" t="s">
        <v>79</v>
      </c>
      <c r="C31" s="7"/>
      <c r="D31" s="66" t="n">
        <f aca="false">W28</f>
        <v>108.234169715844</v>
      </c>
      <c r="E31" s="66" t="n">
        <f aca="false">X28</f>
        <v>5.36488296433239</v>
      </c>
      <c r="F31" s="66" t="n">
        <f aca="false">Y28</f>
        <v>0</v>
      </c>
      <c r="G31" s="66" t="n">
        <f aca="false">Z28</f>
        <v>0</v>
      </c>
      <c r="H31" s="5"/>
      <c r="I31" s="5"/>
      <c r="J31" s="5"/>
    </row>
    <row r="32" customFormat="false" ht="12.85" hidden="false" customHeight="true" outlineLevel="0" collapsed="false">
      <c r="A32" s="5"/>
      <c r="B32" s="6" t="s">
        <v>80</v>
      </c>
      <c r="C32" s="7"/>
      <c r="D32" s="67" t="n">
        <f aca="false">SUM(D23:G23)</f>
        <v>430</v>
      </c>
      <c r="E32" s="67"/>
      <c r="F32" s="67"/>
      <c r="G32" s="67"/>
      <c r="H32" s="5"/>
      <c r="I32" s="5"/>
      <c r="J32" s="5"/>
      <c r="U32" s="3" t="s">
        <v>75</v>
      </c>
      <c r="V32" s="4" t="s">
        <v>76</v>
      </c>
      <c r="W32" s="68" t="n">
        <f aca="false">1000*W11</f>
        <v>0.834689752132272</v>
      </c>
      <c r="X32" s="68" t="n">
        <f aca="false">1000*X11</f>
        <v>0.973139740375974</v>
      </c>
      <c r="Y32" s="68" t="n">
        <f aca="false">1000*Y11</f>
        <v>1.23162998391334</v>
      </c>
      <c r="Z32" s="68" t="n">
        <f aca="false">1000*Z11</f>
        <v>0.834689752132272</v>
      </c>
    </row>
    <row r="33" customFormat="false" ht="12.85" hidden="false" customHeight="true" outlineLevel="0" collapsed="false">
      <c r="A33" s="5"/>
      <c r="B33" s="6" t="s">
        <v>81</v>
      </c>
      <c r="C33" s="7"/>
      <c r="D33" s="69" t="n">
        <f aca="false">SUM(D30:G30)</f>
        <v>363.070093064188</v>
      </c>
      <c r="E33" s="69"/>
      <c r="F33" s="69"/>
      <c r="G33" s="69"/>
      <c r="H33" s="5"/>
      <c r="I33" s="5"/>
      <c r="J33" s="5"/>
      <c r="W33" s="68"/>
      <c r="X33" s="68"/>
      <c r="Y33" s="68"/>
      <c r="Z33" s="68"/>
    </row>
    <row r="34" customFormat="false" ht="12.85" hidden="false" customHeight="true" outlineLevel="0" collapsed="false">
      <c r="A34" s="5"/>
      <c r="B34" s="6" t="s">
        <v>82</v>
      </c>
      <c r="C34" s="7"/>
      <c r="D34" s="70" t="str">
        <f aca="false">ROUND(D33/C22,0)&amp;" sekuntia = "&amp;ROUND(10*D33/C22/60,0)/10&amp;" minuuttia"</f>
        <v>637 sekuntia = 10,6 minuuttia</v>
      </c>
      <c r="E34" s="70"/>
      <c r="F34" s="70"/>
      <c r="G34" s="70"/>
      <c r="H34" s="5"/>
      <c r="I34" s="5"/>
      <c r="J34" s="5"/>
      <c r="W34" s="68"/>
      <c r="X34" s="68"/>
      <c r="Y34" s="68"/>
      <c r="Z34" s="68"/>
    </row>
    <row r="35" customFormat="false" ht="12.85" hidden="false" customHeight="true" outlineLevel="0" collapsed="false">
      <c r="A35" s="5"/>
      <c r="B35" s="6" t="s">
        <v>83</v>
      </c>
      <c r="C35" s="7"/>
      <c r="D35" s="71" t="n">
        <f aca="false">SUM(D31:G31)</f>
        <v>113.599052680176</v>
      </c>
      <c r="E35" s="71"/>
      <c r="F35" s="71"/>
      <c r="G35" s="71"/>
      <c r="H35" s="5"/>
      <c r="I35" s="5"/>
      <c r="J35" s="5"/>
    </row>
    <row r="36" customFormat="false" ht="12.85" hidden="false" customHeight="true" outlineLevel="0" collapsed="false">
      <c r="A36" s="5"/>
      <c r="B36" s="6" t="s">
        <v>84</v>
      </c>
      <c r="C36" s="7"/>
      <c r="D36" s="72" t="n">
        <f aca="false">D35/100</f>
        <v>1.13599052680176</v>
      </c>
      <c r="E36" s="72"/>
      <c r="F36" s="72"/>
      <c r="G36" s="72"/>
      <c r="H36" s="5"/>
      <c r="I36" s="5"/>
      <c r="J36" s="5"/>
    </row>
    <row r="37" customFormat="false" ht="12.85" hidden="false" customHeight="true" outlineLevel="0" collapsed="false">
      <c r="A37" s="5"/>
      <c r="B37" s="6"/>
      <c r="C37" s="6"/>
      <c r="D37" s="6"/>
      <c r="E37" s="6"/>
      <c r="F37" s="6"/>
      <c r="G37" s="6"/>
      <c r="H37" s="5"/>
      <c r="I37" s="5"/>
      <c r="J37" s="5"/>
      <c r="W37" s="73"/>
      <c r="X37" s="73"/>
      <c r="Y37" s="73"/>
      <c r="Z37" s="73"/>
    </row>
    <row r="38" customFormat="false" ht="12.85" hidden="false" customHeight="true" outlineLevel="0" collapsed="false">
      <c r="A38" s="5"/>
      <c r="B38" s="74" t="s">
        <v>85</v>
      </c>
      <c r="C38" s="74"/>
      <c r="D38" s="14" t="s">
        <v>86</v>
      </c>
      <c r="E38" s="75" t="s">
        <v>87</v>
      </c>
      <c r="F38" s="76" t="s">
        <v>15</v>
      </c>
      <c r="G38" s="7"/>
      <c r="H38" s="5"/>
      <c r="I38" s="5"/>
      <c r="J38" s="0"/>
      <c r="W38" s="77"/>
      <c r="X38" s="77"/>
      <c r="Y38" s="77"/>
      <c r="Z38" s="77"/>
    </row>
    <row r="39" customFormat="false" ht="12.85" hidden="false" customHeight="true" outlineLevel="0" collapsed="false">
      <c r="A39" s="5"/>
      <c r="B39" s="74"/>
      <c r="C39" s="74"/>
      <c r="D39" s="78" t="n">
        <v>40</v>
      </c>
      <c r="E39" s="79" t="n">
        <v>3.7</v>
      </c>
      <c r="F39" s="80" t="n">
        <f aca="false">D39-(2*E39)</f>
        <v>32.6</v>
      </c>
      <c r="G39" s="7"/>
      <c r="H39" s="5"/>
      <c r="I39" s="5"/>
      <c r="J39" s="5"/>
      <c r="W39" s="77"/>
      <c r="X39" s="77"/>
      <c r="Y39" s="77"/>
      <c r="Z39" s="77"/>
    </row>
    <row r="40" customFormat="false" ht="12.85" hidden="false" customHeight="true" outlineLevel="0" collapsed="false">
      <c r="A40" s="5"/>
      <c r="B40" s="6"/>
      <c r="C40" s="7"/>
      <c r="D40" s="7"/>
      <c r="E40" s="81"/>
      <c r="F40" s="81"/>
      <c r="G40" s="7"/>
    </row>
    <row r="41" customFormat="false" ht="12.85" hidden="false" customHeight="true" outlineLevel="0" collapsed="false">
      <c r="A41" s="5"/>
      <c r="B41" s="6"/>
      <c r="C41" s="7"/>
      <c r="D41" s="7"/>
      <c r="E41" s="81"/>
      <c r="F41" s="81"/>
      <c r="G41" s="7"/>
      <c r="U41" s="4" t="s">
        <v>88</v>
      </c>
      <c r="V41" s="82" t="s">
        <v>86</v>
      </c>
      <c r="W41" s="82" t="s">
        <v>87</v>
      </c>
      <c r="X41" s="82" t="s">
        <v>15</v>
      </c>
      <c r="Y41" s="82" t="s">
        <v>45</v>
      </c>
      <c r="Z41" s="4" t="s">
        <v>48</v>
      </c>
      <c r="AA41" s="0"/>
    </row>
    <row r="42" customFormat="false" ht="12.85" hidden="false" customHeight="true" outlineLevel="0" collapsed="false">
      <c r="A42" s="5"/>
      <c r="B42" s="6"/>
      <c r="C42" s="7"/>
      <c r="D42" s="7"/>
      <c r="E42" s="81"/>
      <c r="F42" s="81"/>
      <c r="G42" s="7"/>
      <c r="U42" s="4" t="s">
        <v>89</v>
      </c>
      <c r="V42" s="83" t="n">
        <v>32</v>
      </c>
      <c r="W42" s="82" t="n">
        <v>2</v>
      </c>
      <c r="X42" s="82" t="n">
        <f aca="false">V42-2*W42</f>
        <v>28</v>
      </c>
      <c r="Y42" s="83" t="n">
        <v>1100</v>
      </c>
      <c r="Z42" s="83" t="n">
        <v>3700</v>
      </c>
      <c r="AA42" s="0"/>
    </row>
    <row r="43" customFormat="false" ht="12.85" hidden="false" customHeight="true" outlineLevel="0" collapsed="false">
      <c r="A43" s="5"/>
      <c r="B43" s="6"/>
      <c r="C43" s="7"/>
      <c r="D43" s="7"/>
      <c r="E43" s="84"/>
      <c r="F43" s="7"/>
      <c r="G43" s="7"/>
      <c r="U43" s="4" t="s">
        <v>90</v>
      </c>
      <c r="V43" s="85" t="n">
        <v>32</v>
      </c>
      <c r="W43" s="82" t="n">
        <v>3</v>
      </c>
      <c r="X43" s="82" t="n">
        <f aca="false">V43-2*W43</f>
        <v>26</v>
      </c>
      <c r="Y43" s="83" t="n">
        <v>1100</v>
      </c>
      <c r="Z43" s="83" t="n">
        <v>3700</v>
      </c>
      <c r="AA43" s="0"/>
    </row>
    <row r="44" customFormat="false" ht="12.85" hidden="false" customHeight="true" outlineLevel="0" collapsed="false">
      <c r="A44" s="5"/>
      <c r="B44" s="6"/>
      <c r="C44" s="7"/>
      <c r="D44" s="7"/>
      <c r="E44" s="84"/>
      <c r="F44" s="7"/>
      <c r="G44" s="7"/>
      <c r="U44" s="4" t="s">
        <v>64</v>
      </c>
      <c r="V44" s="83" t="n">
        <v>40</v>
      </c>
      <c r="W44" s="82" t="n">
        <v>2.4</v>
      </c>
      <c r="X44" s="82" t="n">
        <f aca="false">V44-2*W44</f>
        <v>35.2</v>
      </c>
      <c r="Y44" s="83" t="n">
        <v>1100</v>
      </c>
      <c r="Z44" s="83" t="n">
        <v>3700</v>
      </c>
      <c r="AA44" s="0"/>
    </row>
    <row r="45" customFormat="false" ht="12.85" hidden="false" customHeight="true" outlineLevel="0" collapsed="false">
      <c r="A45" s="5"/>
      <c r="B45" s="6"/>
      <c r="C45" s="7"/>
      <c r="D45" s="7"/>
      <c r="E45" s="84"/>
      <c r="F45" s="7"/>
      <c r="G45" s="7"/>
      <c r="U45" s="4" t="s">
        <v>91</v>
      </c>
      <c r="V45" s="83" t="n">
        <v>40</v>
      </c>
      <c r="W45" s="82" t="n">
        <v>2.5</v>
      </c>
      <c r="X45" s="82" t="n">
        <f aca="false">V45-2*W45</f>
        <v>35</v>
      </c>
      <c r="Y45" s="83" t="n">
        <v>1100</v>
      </c>
      <c r="Z45" s="83" t="n">
        <v>3700</v>
      </c>
      <c r="AA45" s="0"/>
    </row>
    <row r="46" customFormat="false" ht="12.85" hidden="false" customHeight="true" outlineLevel="0" collapsed="false">
      <c r="U46" s="25" t="s">
        <v>63</v>
      </c>
      <c r="V46" s="85" t="n">
        <v>40</v>
      </c>
      <c r="W46" s="86" t="n">
        <v>3.7</v>
      </c>
      <c r="X46" s="82" t="n">
        <f aca="false">V46-2*W46</f>
        <v>32.6</v>
      </c>
      <c r="Y46" s="83" t="n">
        <v>1100</v>
      </c>
      <c r="Z46" s="83" t="n">
        <v>3700</v>
      </c>
      <c r="AA46" s="0"/>
    </row>
    <row r="47" customFormat="false" ht="12.85" hidden="false" customHeight="true" outlineLevel="0" collapsed="false">
      <c r="U47" s="4" t="s">
        <v>92</v>
      </c>
      <c r="V47" s="85" t="n">
        <v>45</v>
      </c>
      <c r="W47" s="82" t="n">
        <v>2.4</v>
      </c>
      <c r="X47" s="82" t="n">
        <f aca="false">V47-2*W47</f>
        <v>40.2</v>
      </c>
      <c r="Y47" s="83" t="n">
        <v>1100</v>
      </c>
      <c r="Z47" s="83" t="n">
        <v>3700</v>
      </c>
      <c r="AA47" s="0"/>
    </row>
    <row r="48" customFormat="false" ht="12.85" hidden="false" customHeight="true" outlineLevel="0" collapsed="false">
      <c r="U48" s="4" t="s">
        <v>65</v>
      </c>
      <c r="V48" s="85" t="n">
        <v>45</v>
      </c>
      <c r="W48" s="82" t="n">
        <v>2.7</v>
      </c>
      <c r="X48" s="82" t="n">
        <f aca="false">V48-2*W48</f>
        <v>39.6</v>
      </c>
      <c r="Y48" s="83" t="n">
        <v>1100</v>
      </c>
      <c r="Z48" s="83" t="n">
        <v>3700</v>
      </c>
      <c r="AA48" s="0"/>
    </row>
    <row r="49" customFormat="false" ht="12.85" hidden="false" customHeight="true" outlineLevel="0" collapsed="false">
      <c r="U49" s="4" t="s">
        <v>93</v>
      </c>
      <c r="V49" s="85" t="n">
        <v>45</v>
      </c>
      <c r="W49" s="82" t="n">
        <v>3</v>
      </c>
      <c r="X49" s="82" t="n">
        <f aca="false">V49-2*W49</f>
        <v>39</v>
      </c>
      <c r="Y49" s="83" t="n">
        <v>1100</v>
      </c>
      <c r="Z49" s="83" t="n">
        <v>3700</v>
      </c>
      <c r="AA49" s="0"/>
    </row>
    <row r="50" customFormat="false" ht="12.85" hidden="false" customHeight="true" outlineLevel="0" collapsed="false">
      <c r="U50" s="4" t="s">
        <v>94</v>
      </c>
      <c r="V50" s="85" t="n">
        <v>50</v>
      </c>
      <c r="W50" s="82" t="n">
        <v>2.4</v>
      </c>
      <c r="X50" s="82" t="n">
        <f aca="false">V50-2*W50</f>
        <v>45.2</v>
      </c>
      <c r="Y50" s="83" t="n">
        <v>1100</v>
      </c>
      <c r="Z50" s="83" t="n">
        <v>3700</v>
      </c>
      <c r="AA50" s="0"/>
    </row>
    <row r="51" customFormat="false" ht="12.85" hidden="false" customHeight="true" outlineLevel="0" collapsed="false">
      <c r="U51" s="4" t="s">
        <v>95</v>
      </c>
      <c r="V51" s="83" t="n">
        <v>50</v>
      </c>
      <c r="W51" s="82" t="n">
        <v>3</v>
      </c>
      <c r="X51" s="82" t="n">
        <f aca="false">V51-2*W51</f>
        <v>44</v>
      </c>
      <c r="Y51" s="83" t="n">
        <v>1100</v>
      </c>
      <c r="Z51" s="83" t="n">
        <v>3700</v>
      </c>
      <c r="AA51" s="0"/>
    </row>
    <row r="52" customFormat="false" ht="12.85" hidden="false" customHeight="true" outlineLevel="0" collapsed="false">
      <c r="U52" s="25" t="s">
        <v>96</v>
      </c>
      <c r="V52" s="85" t="n">
        <v>50</v>
      </c>
      <c r="W52" s="86" t="n">
        <v>4.6</v>
      </c>
      <c r="X52" s="82" t="n">
        <f aca="false">V52-2*W52</f>
        <v>40.8</v>
      </c>
      <c r="Y52" s="83" t="n">
        <v>1100</v>
      </c>
      <c r="Z52" s="83" t="n">
        <v>3700</v>
      </c>
      <c r="AA52" s="0"/>
    </row>
    <row r="53" customFormat="false" ht="12.85" hidden="false" customHeight="true" outlineLevel="0" collapsed="false">
      <c r="U53" s="25" t="s">
        <v>97</v>
      </c>
      <c r="V53" s="85" t="n">
        <v>63</v>
      </c>
      <c r="W53" s="86" t="n">
        <v>3</v>
      </c>
      <c r="X53" s="82" t="n">
        <f aca="false">V53-2*W53</f>
        <v>57</v>
      </c>
      <c r="Y53" s="83" t="n">
        <v>1100</v>
      </c>
      <c r="Z53" s="83" t="n">
        <v>3700</v>
      </c>
      <c r="AA53" s="0"/>
    </row>
    <row r="54" customFormat="false" ht="12.85" hidden="false" customHeight="true" outlineLevel="0" collapsed="false">
      <c r="U54" s="4" t="s">
        <v>98</v>
      </c>
      <c r="V54" s="85" t="n">
        <v>63</v>
      </c>
      <c r="W54" s="82" t="n">
        <v>5.8</v>
      </c>
      <c r="X54" s="82" t="n">
        <f aca="false">V54-2*W54</f>
        <v>51.4</v>
      </c>
      <c r="Y54" s="83" t="n">
        <v>1100</v>
      </c>
      <c r="Z54" s="83" t="n">
        <v>3700</v>
      </c>
      <c r="AA54" s="0"/>
    </row>
    <row r="55" customFormat="false" ht="12.85" hidden="false" customHeight="true" outlineLevel="0" collapsed="false">
      <c r="U55" s="4" t="s">
        <v>99</v>
      </c>
      <c r="V55" s="4" t="n">
        <v>50</v>
      </c>
      <c r="W55" s="82" t="n">
        <v>2.5</v>
      </c>
      <c r="X55" s="82" t="n">
        <f aca="false">V55-2*W55</f>
        <v>45</v>
      </c>
      <c r="Y55" s="83" t="n">
        <v>1100</v>
      </c>
      <c r="Z55" s="83" t="n">
        <v>3700</v>
      </c>
      <c r="AA55" s="0"/>
    </row>
    <row r="56" customFormat="false" ht="12.85" hidden="false" customHeight="true" outlineLevel="0" collapsed="false">
      <c r="U56" s="4" t="s">
        <v>66</v>
      </c>
      <c r="V56" s="83" t="n">
        <f aca="false">D39</f>
        <v>40</v>
      </c>
      <c r="W56" s="82" t="n">
        <f aca="false">E39</f>
        <v>3.7</v>
      </c>
      <c r="X56" s="82" t="n">
        <f aca="false">V56-2*W56</f>
        <v>32.6</v>
      </c>
      <c r="Y56" s="83" t="n">
        <v>1100</v>
      </c>
      <c r="Z56" s="83" t="n">
        <v>3700</v>
      </c>
      <c r="AA56" s="0"/>
    </row>
  </sheetData>
  <sheetProtection sheet="true" objects="true" scenarios="true" selectLockedCells="true"/>
  <mergeCells count="16">
    <mergeCell ref="B2:G2"/>
    <mergeCell ref="B3:G3"/>
    <mergeCell ref="F4:G4"/>
    <mergeCell ref="B5:G5"/>
    <mergeCell ref="B7:D7"/>
    <mergeCell ref="F9:G12"/>
    <mergeCell ref="B10:C10"/>
    <mergeCell ref="B11:C11"/>
    <mergeCell ref="B20:G20"/>
    <mergeCell ref="B21:D21"/>
    <mergeCell ref="D32:G32"/>
    <mergeCell ref="D33:G33"/>
    <mergeCell ref="D34:G34"/>
    <mergeCell ref="D35:G35"/>
    <mergeCell ref="D36:G36"/>
    <mergeCell ref="B38:C39"/>
  </mergeCells>
  <dataValidations count="3">
    <dataValidation allowBlank="false" operator="equal" prompt="Montako putkea &#10;tässä osuudessa&#10;on rinnakkain!" promptTitle="Valitse" showDropDown="false" showErrorMessage="true" showInputMessage="true" sqref="D24:G24" type="list">
      <formula1>"1,2,3,4"</formula1>
      <formula2>0</formula2>
    </dataValidation>
    <dataValidation allowBlank="true" operator="equal" prompt="Valitse putkityyppi" promptTitle="Valitse putki" showDropDown="false" showErrorMessage="true" showInputMessage="true" sqref="D25" type="list">
      <formula1>"32x2.0,32x3.0,40x2.4,40x2.5,40x3.7,45x2.4,45x2.7,45x3.0,50x2.4,50x3.0,50x4.6,63x3.8,63x5.8,GeoPipeM32,Oma"</formula1>
      <formula2>0</formula2>
    </dataValidation>
    <dataValidation allowBlank="true" operator="equal" prompt="Valitse putkityyppi" promptTitle="Valitse putki" showDropDown="false" showErrorMessage="true" showInputMessage="true" sqref="E25:G25" type="list">
      <formula1>"32x2.0,32x3.0,40x2.4,40x2.5,40x3.7,45x2.4,45x2.7,45x3.0,50x2.4,50x3.0,50x4.6,63x3.8,63x5.8,Oma"</formula1>
      <formula2>0</formula2>
    </dataValidation>
  </dataValidation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9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730</TotalTime>
  <Application>LibreOffice/5.4.2.2$Linux_X86_64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2017-01-14T18:32:19Z</dcterms:created>
  <dc:creator>Paavo Ingalsuo</dc:creator>
  <dc:description/>
  <dc:language>fi-FI</dc:language>
  <cp:lastModifiedBy>Paavo Ingalsuo</cp:lastModifiedBy>
  <dcterms:modified xsi:type="dcterms:W3CDTF">2018-01-24T23:08:03Z</dcterms:modified>
  <cp:revision>100</cp:revision>
  <dc:subject/>
  <dc:title/>
</cp:coreProperties>
</file>