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vmlDrawing1.vml" ContentType="application/vnd.openxmlformats-officedocument.vmlDrawin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localSheetId="0" name="_xlnm.Print_Area" vbProcedure="false">Sheet1!$B$1:$G$41</definedName>
    <definedName function="false" hidden="false" localSheetId="0" name="Excel_BuiltIn_Print_Area" vbProcedure="false">Sheet1!$B$3:$G$37</definedName>
    <definedName function="false" hidden="false" localSheetId="0" name="_xlnm_Print_Area" vbProcedure="false">Sheet1!$B$3:$G$37</definedName>
    <definedName function="false" hidden="false" localSheetId="0" name="_xlnm_Print_Area_0" vbProcedure="false">Sheet1!$B$3:$G$37</definedName>
    <definedName function="false" hidden="false" localSheetId="0" name="_xlnm_Print_Area_0_0" vbProcedure="false">Sheet1!$B$3:$G$37</definedName>
    <definedName function="false" hidden="false" localSheetId="0" name="_xlnm_Print_Area_0_0_0" vbProcedure="false">Sheet1!$B$3:$G$37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G25" authorId="0">
      <text>
        <r>
          <rPr>
            <sz val="10"/>
            <rFont val="Arial"/>
            <family val="2"/>
          </rPr>
          <t xml:space="preserve">Kirjoita      metrimäärä</t>
        </r>
      </text>
    </comment>
    <comment ref="G26" authorId="0">
      <text>
        <r>
          <rPr>
            <sz val="10"/>
            <rFont val="Arial"/>
            <family val="2"/>
          </rPr>
          <t xml:space="preserve"> VALITSE</t>
        </r>
      </text>
    </comment>
    <comment ref="G27" authorId="0">
      <text>
        <r>
          <rPr>
            <sz val="10"/>
            <rFont val="Arial"/>
            <family val="2"/>
          </rPr>
          <t xml:space="preserve"> VALITSE</t>
        </r>
      </text>
    </comment>
  </commentList>
</comments>
</file>

<file path=xl/sharedStrings.xml><?xml version="1.0" encoding="utf-8"?>
<sst xmlns="http://schemas.openxmlformats.org/spreadsheetml/2006/main" count="122" uniqueCount="100">
  <si>
    <t xml:space="preserve">Maalämpöpumpun keruupiirin painehäviön laskuri</t>
  </si>
  <si>
    <t xml:space="preserve">Soveltuu vain noin 28 p-% vesi -alkoholiliuokselle ja sileäpintaiselle (ei turbo) putkelle!</t>
  </si>
  <si>
    <t xml:space="preserve">( seppaant / ingalsuo )</t>
  </si>
  <si>
    <t xml:space="preserve">Keruupiiri JML_</t>
  </si>
  <si>
    <t xml:space="preserve">Laske lämpöpumpulle tarvittava tilavuusvirtaus</t>
  </si>
  <si>
    <t xml:space="preserve">v. 17.39</t>
  </si>
  <si>
    <t xml:space="preserve">Laskettu</t>
  </si>
  <si>
    <t xml:space="preserve">Keruun lämpötila</t>
  </si>
  <si>
    <t xml:space="preserve">C</t>
  </si>
  <si>
    <t xml:space="preserve">Antoteho, kW</t>
  </si>
  <si>
    <t xml:space="preserve">Tilavuusvirtaus</t>
  </si>
  <si>
    <t xml:space="preserve">l/s</t>
  </si>
  <si>
    <t xml:space="preserve">COP</t>
  </si>
  <si>
    <t xml:space="preserve">Tämän laskelman oikeellisuutta ei taata!</t>
  </si>
  <si>
    <t xml:space="preserve">Kaivosta otettava teho</t>
  </si>
  <si>
    <t xml:space="preserve">ID</t>
  </si>
  <si>
    <t xml:space="preserve">m</t>
  </si>
  <si>
    <t xml:space="preserve">Sähköverkosta otettava teho</t>
  </si>
  <si>
    <t xml:space="preserve">Aukko</t>
  </si>
  <si>
    <t xml:space="preserve">m2</t>
  </si>
  <si>
    <t xml:space="preserve">Keruun Dt, astetta</t>
  </si>
  <si>
    <t xml:space="preserve">Tiheys</t>
  </si>
  <si>
    <t xml:space="preserve">kg/m3</t>
  </si>
  <si>
    <t xml:space="preserve">Ominaislämpö</t>
  </si>
  <si>
    <t xml:space="preserve">kJ/l</t>
  </si>
  <si>
    <t xml:space="preserve">Kaivojen lukumäärä</t>
  </si>
  <si>
    <t xml:space="preserve">Viskositeetti dyn</t>
  </si>
  <si>
    <t xml:space="preserve">Pa*s</t>
  </si>
  <si>
    <t xml:space="preserve">Maalämpökone tarvitsee virtaamaksi</t>
  </si>
  <si>
    <t xml:space="preserve">Virtaama</t>
  </si>
  <si>
    <t xml:space="preserve">Viskositeetti kin</t>
  </si>
  <si>
    <t xml:space="preserve">m2/s</t>
  </si>
  <si>
    <t xml:space="preserve">vähintäänkin :</t>
  </si>
  <si>
    <t xml:space="preserve">vähintään</t>
  </si>
  <si>
    <t xml:space="preserve">kaivoa kohden</t>
  </si>
  <si>
    <t xml:space="preserve">Tilavuusvirtaus, litraa sekunnissa</t>
  </si>
  <si>
    <t xml:space="preserve">Litraa/s</t>
  </si>
  <si>
    <t xml:space="preserve">Tilavuusvirtaus, litraa minuutissa</t>
  </si>
  <si>
    <t xml:space="preserve">Litraa/min</t>
  </si>
  <si>
    <t xml:space="preserve">Nopeus</t>
  </si>
  <si>
    <t xml:space="preserve">m/s</t>
  </si>
  <si>
    <t xml:space="preserve">Tilavuusvirtaus, kuutiometriä /h</t>
  </si>
  <si>
    <t xml:space="preserve">m3/tunti</t>
  </si>
  <si>
    <t xml:space="preserve">Reynolds</t>
  </si>
  <si>
    <t xml:space="preserve">Lami/turb alaraja-arvo L</t>
  </si>
  <si>
    <t xml:space="preserve">Re-1</t>
  </si>
  <si>
    <t xml:space="preserve">Keruupiirin painehäviö, kun virtaus on →</t>
  </si>
  <si>
    <t xml:space="preserve">Lami/turb yläraja-arvo T</t>
  </si>
  <si>
    <t xml:space="preserve">Re-2</t>
  </si>
  <si>
    <t xml:space="preserve">Anna tilavuusvirtaus litraa/sek</t>
  </si>
  <si>
    <t xml:space="preserve">Osuus 1</t>
  </si>
  <si>
    <t xml:space="preserve">Osuus 2</t>
  </si>
  <si>
    <t xml:space="preserve">Osuus 3</t>
  </si>
  <si>
    <t xml:space="preserve">Osuus 4</t>
  </si>
  <si>
    <t xml:space="preserve">Hr painehäviö lamin</t>
  </si>
  <si>
    <t xml:space="preserve">Anna putkiosuuden pituus</t>
  </si>
  <si>
    <t xml:space="preserve">metriä</t>
  </si>
  <si>
    <t xml:space="preserve">Hr painehäviö turb</t>
  </si>
  <si>
    <t xml:space="preserve">Montako putkea rinnakkain</t>
  </si>
  <si>
    <t xml:space="preserve">lukumäärä</t>
  </si>
  <si>
    <t xml:space="preserve">kPa</t>
  </si>
  <si>
    <t xml:space="preserve">Valitse putkityyppi</t>
  </si>
  <si>
    <t xml:space="preserve">tyyppi</t>
  </si>
  <si>
    <t xml:space="preserve">40x2.4</t>
  </si>
  <si>
    <t xml:space="preserve">40x3.7</t>
  </si>
  <si>
    <t xml:space="preserve">45x2.7</t>
  </si>
  <si>
    <t xml:space="preserve">Oma</t>
  </si>
  <si>
    <t xml:space="preserve">Ulkoläpimitta</t>
  </si>
  <si>
    <t xml:space="preserve">mm</t>
  </si>
  <si>
    <t xml:space="preserve">Virtaustyyppi</t>
  </si>
  <si>
    <t xml:space="preserve">T / L</t>
  </si>
  <si>
    <t xml:space="preserve">Seinämän paksuus</t>
  </si>
  <si>
    <t xml:space="preserve">Hr painehäviö</t>
  </si>
  <si>
    <t xml:space="preserve">Sisäläpimitta, ID</t>
  </si>
  <si>
    <t xml:space="preserve">Liukuu L → T</t>
  </si>
  <si>
    <t xml:space="preserve">Volyymi</t>
  </si>
  <si>
    <t xml:space="preserve">l/m</t>
  </si>
  <si>
    <t xml:space="preserve">Kokonaisvolyymi</t>
  </si>
  <si>
    <t xml:space="preserve">litraa</t>
  </si>
  <si>
    <t xml:space="preserve">Painehäviö, kiloPascalia</t>
  </si>
  <si>
    <t xml:space="preserve">Putkilinjan pituus yhteensä metriä</t>
  </si>
  <si>
    <t xml:space="preserve">Keruuputkiston nestetilavuus yhteensä</t>
  </si>
  <si>
    <t xml:space="preserve">Kiertoaika nimellisvirtauksella</t>
  </si>
  <si>
    <t xml:space="preserve">Painehäviö yhteensä, kPa</t>
  </si>
  <si>
    <t xml:space="preserve">Painehäviö yhteensä, bar</t>
  </si>
  <si>
    <r>
      <rPr>
        <b val="true"/>
        <sz val="13"/>
        <rFont val="Arial"/>
        <family val="2"/>
      </rPr>
      <t xml:space="preserve">Oma</t>
    </r>
    <r>
      <rPr>
        <sz val="13"/>
        <rFont val="Arial"/>
        <family val="2"/>
      </rPr>
      <t xml:space="preserve">  valinta keruuputkeksi</t>
    </r>
  </si>
  <si>
    <t xml:space="preserve">OD</t>
  </si>
  <si>
    <t xml:space="preserve">Seinämä</t>
  </si>
  <si>
    <t xml:space="preserve">Type</t>
  </si>
  <si>
    <t xml:space="preserve">32x2.0</t>
  </si>
  <si>
    <t xml:space="preserve">32x3.0</t>
  </si>
  <si>
    <t xml:space="preserve">40x2.5</t>
  </si>
  <si>
    <t xml:space="preserve">45x2.4</t>
  </si>
  <si>
    <t xml:space="preserve">45x3.0</t>
  </si>
  <si>
    <t xml:space="preserve">50x2.4</t>
  </si>
  <si>
    <t xml:space="preserve">50x3.0</t>
  </si>
  <si>
    <t xml:space="preserve">50x4.6</t>
  </si>
  <si>
    <t xml:space="preserve">63x3.8</t>
  </si>
  <si>
    <t xml:space="preserve">63x5.8</t>
  </si>
  <si>
    <t xml:space="preserve">GeoPipeM32</t>
  </si>
</sst>
</file>

<file path=xl/styles.xml><?xml version="1.0" encoding="utf-8"?>
<styleSheet xmlns="http://schemas.openxmlformats.org/spreadsheetml/2006/main">
  <numFmts count="31">
    <numFmt numFmtId="164" formatCode="General"/>
    <numFmt numFmtId="165" formatCode="#,##0.00\ [$€-40B];[RED]\-#,##0.00\ [$€-40B]"/>
    <numFmt numFmtId="166" formatCode="MM/DD/YYYY"/>
    <numFmt numFmtId="167" formatCode="#,##0.0&quot; C&quot;;[RED]\-#,##0.0&quot; C&quot;"/>
    <numFmt numFmtId="168" formatCode="#,##0.0&quot; kW&quot;;[RED]\-#,##0.0&quot; kW&quot;"/>
    <numFmt numFmtId="169" formatCode="#,##0.000&quot; l/s&quot;;[RED]\-#,##0.000&quot; l/s&quot;"/>
    <numFmt numFmtId="170" formatCode="#,##0.0&quot; COP&quot;;[RED]\-#,##0.0&quot; COP&quot;"/>
    <numFmt numFmtId="171" formatCode="0.000000"/>
    <numFmt numFmtId="172" formatCode="#,##0.0&quot; K&quot;;[RED]\-#,##0.0&quot; K&quot;"/>
    <numFmt numFmtId="173" formatCode="0.0"/>
    <numFmt numFmtId="174" formatCode="0.000"/>
    <numFmt numFmtId="175" formatCode="#,##0&quot; kpl&quot;;[RED]\-#,##0&quot; kpl&quot;"/>
    <numFmt numFmtId="176" formatCode="#,##0&quot; kaivoa&quot;;[RED]\-#,##0&quot; kaivoa&quot;"/>
    <numFmt numFmtId="177" formatCode="0.00000"/>
    <numFmt numFmtId="178" formatCode="0.000E+00"/>
    <numFmt numFmtId="179" formatCode="#,##0.0&quot; l/min&quot;;[RED]\-#,##0.0&quot; l/min&quot;"/>
    <numFmt numFmtId="180" formatCode="#,##0.00&quot; m3/h&quot;;[RED]\-#,##0.00&quot; m3/h&quot;"/>
    <numFmt numFmtId="181" formatCode="0.00"/>
    <numFmt numFmtId="182" formatCode="#,##0&quot; Re&quot;;[RED]\-#,##0&quot; Re&quot;"/>
    <numFmt numFmtId="183" formatCode="#,##0&quot; m&quot;;[RED]\-#,##0&quot; m&quot;"/>
    <numFmt numFmtId="184" formatCode="@"/>
    <numFmt numFmtId="185" formatCode="#,##0.0&quot; mm&quot;;[RED]\-#,##0.0&quot; mm&quot;"/>
    <numFmt numFmtId="186" formatCode="#,##0.0&quot; kPa&quot;;[RED]\-#,##0.0&quot; kPa&quot;"/>
    <numFmt numFmtId="187" formatCode="#,##0.00&quot; l/m&quot;;[RED]\-#,##0.00&quot; l/m&quot;"/>
    <numFmt numFmtId="188" formatCode="#,##0&quot; litraa&quot;;[RED]\-#,##0&quot; litraa&quot;"/>
    <numFmt numFmtId="189" formatCode="#,##0.00&quot; bar&quot;;[RED]\-#,##0.00&quot; bar&quot;"/>
    <numFmt numFmtId="190" formatCode="#,##0&quot; l&quot;;[RED]\-#,##0&quot; l&quot;"/>
    <numFmt numFmtId="191" formatCode="#,##0&quot; mm&quot;;[RED]\-#,##0&quot; mm&quot;"/>
    <numFmt numFmtId="192" formatCode="#,##0.000;[RED]\-#,##0.000"/>
    <numFmt numFmtId="193" formatCode="#,##0.0;[RED]\-#,##0.0"/>
    <numFmt numFmtId="194" formatCode="#,##0;[RED]\-#,##0"/>
  </numFmts>
  <fonts count="12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0"/>
      <name val="Arial"/>
      <family val="2"/>
    </font>
    <font>
      <b val="true"/>
      <i val="true"/>
      <sz val="16"/>
      <name val="Arial"/>
      <family val="2"/>
    </font>
    <font>
      <b val="true"/>
      <sz val="12"/>
      <name val="Arial"/>
      <family val="2"/>
    </font>
    <font>
      <sz val="7"/>
      <name val="Arial"/>
      <family val="2"/>
    </font>
    <font>
      <b val="true"/>
      <sz val="10"/>
      <color rgb="FF000000"/>
      <name val="Calibri"/>
      <family val="2"/>
    </font>
    <font>
      <sz val="10"/>
      <color rgb="FF000000"/>
      <name val="Calibri"/>
      <family val="2"/>
    </font>
    <font>
      <b val="true"/>
      <sz val="13"/>
      <name val="Arial"/>
      <family val="2"/>
    </font>
    <font>
      <sz val="1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C99"/>
        <bgColor rgb="FFC0C0C0"/>
      </patternFill>
    </fill>
    <fill>
      <patternFill patternType="solid">
        <fgColor rgb="FF00FF00"/>
        <bgColor rgb="FF33CCCC"/>
      </patternFill>
    </fill>
    <fill>
      <patternFill patternType="solid">
        <fgColor rgb="FFFFFFCC"/>
        <bgColor rgb="FFFFFFFF"/>
      </patternFill>
    </fill>
    <fill>
      <patternFill patternType="solid">
        <fgColor rgb="FFCCFFFF"/>
        <bgColor rgb="FFCCFFFF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/>
      <right style="thin"/>
      <top style="hair"/>
      <bottom style="thin"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5" fontId="4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center" vertical="bottom" textRotation="0" wrapText="false" indent="0" shrinkToFit="false"/>
    </xf>
    <xf numFmtId="164" fontId="5" fillId="0" borderId="0" applyFont="true" applyBorder="false" applyAlignment="true" applyProtection="false">
      <alignment horizontal="center" vertical="bottom" textRotation="90" wrapText="false" indent="0" shrinkToFit="false"/>
    </xf>
  </cellStyleXfs>
  <cellXfs count="10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2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center" textRotation="0" wrapText="true" indent="0" shrinkToFit="false"/>
      <protection locked="false" hidden="true"/>
    </xf>
    <xf numFmtId="164" fontId="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6" fontId="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8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9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0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8" fillId="0" borderId="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2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8" fontId="0" fillId="0" borderId="1" xfId="0" applyFont="fals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true"/>
    </xf>
    <xf numFmtId="171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2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3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4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4" borderId="1" xfId="0" applyFont="false" applyBorder="true" applyAlignment="true" applyProtection="true">
      <alignment horizontal="center" vertical="center" textRotation="0" wrapText="false" indent="0" shrinkToFit="false"/>
      <protection locked="false" hidden="true"/>
    </xf>
    <xf numFmtId="175" fontId="0" fillId="2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6" fontId="0" fillId="5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3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78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74" fontId="9" fillId="3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0" fillId="3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0" fillId="2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0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0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1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2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3" borderId="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0" fillId="3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3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0" fontId="0" fillId="3" borderId="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1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9" fontId="9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4" fontId="0" fillId="6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6" borderId="1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3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3" fontId="0" fillId="4" borderId="1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75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75" fontId="0" fillId="4" borderId="1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4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4" fontId="0" fillId="4" borderId="1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5" fontId="0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87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7" fontId="0" fillId="0" borderId="1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8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8" fontId="0" fillId="0" borderId="1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6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9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6" fontId="9" fillId="5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6" fontId="9" fillId="5" borderId="1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3" fontId="0" fillId="5" borderId="1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8" fontId="0" fillId="5" borderId="1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90" fontId="0" fillId="5" borderId="1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6" fontId="9" fillId="2" borderId="1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9" fontId="9" fillId="2" borderId="1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1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1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4" fontId="9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2" fontId="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5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5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5" fontId="9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5" fontId="0" fillId="5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93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9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1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9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93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</cellXfs>
  <cellStyles count="10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Result" xfId="20" builtinId="53" customBuiltin="true"/>
    <cellStyle name="Result2" xfId="21" builtinId="53" customBuiltin="true"/>
    <cellStyle name="Heading" xfId="22" builtinId="53" customBuiltin="true"/>
    <cellStyle name="Heading1" xfId="23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60"/>
  <sheetViews>
    <sheetView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C14" activeCellId="0" sqref="C14"/>
    </sheetView>
  </sheetViews>
  <sheetFormatPr defaultRowHeight="12.85" zeroHeight="false" outlineLevelRow="0" outlineLevelCol="0"/>
  <cols>
    <col collapsed="false" customWidth="true" hidden="false" outlineLevel="0" max="1" min="1" style="1" width="2.77"/>
    <col collapsed="false" customWidth="true" hidden="false" outlineLevel="0" max="2" min="2" style="1" width="29.37"/>
    <col collapsed="false" customWidth="true" hidden="false" outlineLevel="0" max="3" min="3" style="2" width="9.83"/>
    <col collapsed="false" customWidth="true" hidden="false" outlineLevel="0" max="7" min="4" style="2" width="12.25"/>
    <col collapsed="false" customWidth="true" hidden="false" outlineLevel="0" max="20" min="8" style="1" width="7.65"/>
    <col collapsed="false" customWidth="true" hidden="true" outlineLevel="0" max="21" min="21" style="3" width="19.79"/>
    <col collapsed="false" customWidth="true" hidden="true" outlineLevel="0" max="26" min="22" style="4" width="11.73"/>
    <col collapsed="false" customWidth="true" hidden="false" outlineLevel="0" max="257" min="27" style="1" width="10.03"/>
    <col collapsed="false" customWidth="true" hidden="false" outlineLevel="0" max="1025" min="258" style="0" width="10.03"/>
  </cols>
  <sheetData>
    <row r="1" customFormat="false" ht="12.8" hidden="false" customHeight="true" outlineLevel="0" collapsed="false">
      <c r="A1" s="5"/>
      <c r="B1" s="6"/>
      <c r="C1" s="7"/>
      <c r="D1" s="7"/>
      <c r="E1" s="7"/>
      <c r="F1" s="7"/>
      <c r="G1" s="7"/>
      <c r="H1" s="5"/>
      <c r="I1" s="5"/>
      <c r="J1" s="5"/>
      <c r="U1" s="8"/>
      <c r="V1" s="9"/>
      <c r="W1" s="9"/>
      <c r="X1" s="9"/>
      <c r="Y1" s="9"/>
      <c r="Z1" s="9"/>
    </row>
    <row r="2" customFormat="false" ht="12.8" hidden="false" customHeight="true" outlineLevel="0" collapsed="false">
      <c r="A2" s="5"/>
      <c r="B2" s="6"/>
      <c r="C2" s="7"/>
      <c r="D2" s="7"/>
      <c r="E2" s="7"/>
      <c r="F2" s="7"/>
      <c r="G2" s="7"/>
      <c r="H2" s="5"/>
      <c r="I2" s="5"/>
      <c r="J2" s="5"/>
      <c r="U2" s="8"/>
      <c r="V2" s="9"/>
      <c r="W2" s="9"/>
      <c r="X2" s="9"/>
      <c r="Y2" s="9"/>
      <c r="Z2" s="9"/>
    </row>
    <row r="3" customFormat="false" ht="12.85" hidden="false" customHeight="true" outlineLevel="0" collapsed="false">
      <c r="A3" s="5"/>
      <c r="B3" s="6"/>
      <c r="C3" s="7"/>
      <c r="D3" s="7"/>
      <c r="E3" s="7"/>
      <c r="F3" s="7"/>
      <c r="G3" s="7"/>
      <c r="H3" s="5"/>
      <c r="I3" s="5"/>
      <c r="J3" s="5"/>
      <c r="U3" s="8"/>
      <c r="V3" s="9"/>
      <c r="W3" s="9"/>
      <c r="X3" s="9"/>
      <c r="Y3" s="9"/>
      <c r="Z3" s="9"/>
    </row>
    <row r="4" customFormat="false" ht="17" hidden="false" customHeight="true" outlineLevel="0" collapsed="false">
      <c r="A4" s="5"/>
      <c r="B4" s="10" t="s">
        <v>0</v>
      </c>
      <c r="C4" s="10"/>
      <c r="D4" s="10"/>
      <c r="E4" s="10"/>
      <c r="F4" s="10"/>
      <c r="G4" s="10"/>
      <c r="H4" s="5"/>
      <c r="I4" s="5"/>
      <c r="J4" s="5"/>
    </row>
    <row r="5" customFormat="false" ht="14.65" hidden="false" customHeight="true" outlineLevel="0" collapsed="false">
      <c r="A5" s="5"/>
      <c r="B5" s="11" t="s">
        <v>1</v>
      </c>
      <c r="C5" s="11"/>
      <c r="D5" s="11"/>
      <c r="E5" s="11"/>
      <c r="F5" s="11"/>
      <c r="G5" s="11"/>
      <c r="H5" s="5"/>
      <c r="I5" s="5"/>
      <c r="J5" s="5"/>
    </row>
    <row r="6" customFormat="false" ht="14.65" hidden="false" customHeight="true" outlineLevel="0" collapsed="false">
      <c r="A6" s="5"/>
      <c r="B6" s="11"/>
      <c r="C6" s="7"/>
      <c r="D6" s="7"/>
      <c r="E6" s="7"/>
      <c r="F6" s="12" t="s">
        <v>2</v>
      </c>
      <c r="G6" s="12"/>
      <c r="H6" s="5"/>
      <c r="I6" s="5"/>
      <c r="J6" s="5"/>
    </row>
    <row r="7" customFormat="false" ht="55" hidden="false" customHeight="true" outlineLevel="0" collapsed="false">
      <c r="A7" s="5"/>
      <c r="B7" s="13" t="s">
        <v>3</v>
      </c>
      <c r="C7" s="13"/>
      <c r="D7" s="13"/>
      <c r="E7" s="13"/>
      <c r="F7" s="13"/>
      <c r="G7" s="13"/>
      <c r="H7" s="5"/>
      <c r="I7" s="5"/>
      <c r="J7" s="5"/>
    </row>
    <row r="8" customFormat="false" ht="14.65" hidden="false" customHeight="true" outlineLevel="0" collapsed="false">
      <c r="A8" s="5"/>
      <c r="B8" s="7"/>
      <c r="C8" s="7"/>
      <c r="D8" s="7"/>
      <c r="E8" s="7"/>
      <c r="F8" s="7"/>
      <c r="G8" s="7"/>
      <c r="H8" s="5"/>
      <c r="I8" s="5"/>
      <c r="J8" s="5"/>
      <c r="W8" s="4" t="str">
        <f aca="false">D27</f>
        <v>40x2.4</v>
      </c>
      <c r="X8" s="4" t="str">
        <f aca="false">E27</f>
        <v>40x3.7</v>
      </c>
      <c r="Y8" s="4" t="str">
        <f aca="false">F27</f>
        <v>45x2.7</v>
      </c>
      <c r="Z8" s="4" t="str">
        <f aca="false">G27</f>
        <v>Oma</v>
      </c>
    </row>
    <row r="9" customFormat="false" ht="12.85" hidden="false" customHeight="true" outlineLevel="0" collapsed="false">
      <c r="A9" s="5"/>
      <c r="B9" s="14" t="s">
        <v>4</v>
      </c>
      <c r="C9" s="14"/>
      <c r="D9" s="14"/>
      <c r="E9" s="15" t="s">
        <v>5</v>
      </c>
      <c r="F9" s="6" t="s">
        <v>6</v>
      </c>
      <c r="G9" s="16" t="n">
        <f aca="true">TODAY()</f>
        <v>41637</v>
      </c>
      <c r="H9" s="5"/>
      <c r="I9" s="5"/>
      <c r="J9" s="5"/>
      <c r="U9" s="3" t="s">
        <v>7</v>
      </c>
      <c r="V9" s="4" t="s">
        <v>8</v>
      </c>
      <c r="W9" s="17" t="n">
        <v>0</v>
      </c>
      <c r="X9" s="17" t="n">
        <v>0</v>
      </c>
      <c r="Y9" s="17" t="n">
        <v>0</v>
      </c>
      <c r="Z9" s="17" t="n">
        <v>0</v>
      </c>
    </row>
    <row r="10" customFormat="false" ht="14.65" hidden="false" customHeight="true" outlineLevel="0" collapsed="false">
      <c r="A10" s="5"/>
      <c r="B10" s="18" t="s">
        <v>9</v>
      </c>
      <c r="C10" s="19" t="n">
        <v>9.8</v>
      </c>
      <c r="D10" s="20" t="n">
        <f aca="false">C10</f>
        <v>9.8</v>
      </c>
      <c r="E10" s="21"/>
      <c r="F10" s="21"/>
      <c r="G10" s="7"/>
      <c r="H10" s="5"/>
      <c r="I10" s="5"/>
      <c r="J10" s="5"/>
      <c r="U10" s="3" t="s">
        <v>10</v>
      </c>
      <c r="V10" s="4" t="s">
        <v>11</v>
      </c>
      <c r="W10" s="22" t="n">
        <f aca="false">$C24</f>
        <v>0.550989532221132</v>
      </c>
      <c r="X10" s="22" t="n">
        <f aca="false">$C24</f>
        <v>0.550989532221132</v>
      </c>
      <c r="Y10" s="22" t="n">
        <f aca="false">$C24</f>
        <v>0.550989532221132</v>
      </c>
      <c r="Z10" s="22" t="n">
        <f aca="false">$C24</f>
        <v>0.550989532221132</v>
      </c>
    </row>
    <row r="11" customFormat="false" ht="12.85" hidden="false" customHeight="true" outlineLevel="0" collapsed="false">
      <c r="A11" s="5"/>
      <c r="B11" s="18" t="s">
        <v>12</v>
      </c>
      <c r="C11" s="19" t="n">
        <v>3.2</v>
      </c>
      <c r="D11" s="23" t="n">
        <f aca="false">C11</f>
        <v>3.2</v>
      </c>
      <c r="E11" s="21"/>
      <c r="F11" s="24" t="s">
        <v>13</v>
      </c>
      <c r="G11" s="24"/>
      <c r="H11" s="5"/>
      <c r="I11" s="5"/>
      <c r="J11" s="5"/>
      <c r="U11" s="25"/>
      <c r="V11" s="26"/>
      <c r="W11" s="26"/>
      <c r="X11" s="26"/>
      <c r="Y11" s="26"/>
      <c r="Z11" s="26"/>
    </row>
    <row r="12" customFormat="false" ht="14.65" hidden="false" customHeight="true" outlineLevel="0" collapsed="false">
      <c r="A12" s="5"/>
      <c r="B12" s="27" t="s">
        <v>14</v>
      </c>
      <c r="C12" s="27"/>
      <c r="D12" s="20" t="n">
        <f aca="false">D10-D10/D11</f>
        <v>6.7375</v>
      </c>
      <c r="E12" s="7"/>
      <c r="F12" s="24"/>
      <c r="G12" s="24"/>
      <c r="H12" s="5"/>
      <c r="I12" s="5"/>
      <c r="J12" s="5"/>
      <c r="U12" s="3" t="s">
        <v>15</v>
      </c>
      <c r="V12" s="4" t="s">
        <v>16</v>
      </c>
      <c r="W12" s="4" t="n">
        <f aca="false">D30/1000</f>
        <v>0.0352</v>
      </c>
      <c r="X12" s="4" t="n">
        <f aca="false">E30/1000</f>
        <v>0.0326</v>
      </c>
      <c r="Y12" s="4" t="n">
        <f aca="false">F30/1000</f>
        <v>0.0396</v>
      </c>
      <c r="Z12" s="4" t="n">
        <f aca="false">G30/1000</f>
        <v>0.0326</v>
      </c>
    </row>
    <row r="13" customFormat="false" ht="14.65" hidden="false" customHeight="true" outlineLevel="0" collapsed="false">
      <c r="A13" s="5"/>
      <c r="B13" s="18" t="s">
        <v>17</v>
      </c>
      <c r="C13" s="18"/>
      <c r="D13" s="28" t="n">
        <f aca="false">D10-D12</f>
        <v>3.0625</v>
      </c>
      <c r="E13" s="29"/>
      <c r="F13" s="24"/>
      <c r="G13" s="24"/>
      <c r="H13" s="5"/>
      <c r="I13" s="5"/>
      <c r="J13" s="5"/>
      <c r="U13" s="3" t="s">
        <v>18</v>
      </c>
      <c r="V13" s="4" t="s">
        <v>19</v>
      </c>
      <c r="W13" s="30" t="n">
        <f aca="false">PI()*POWER(W12/2,2)</f>
        <v>0.000973139740375974</v>
      </c>
      <c r="X13" s="30" t="n">
        <f aca="false">PI()*POWER(X12/2,2)</f>
        <v>0.000834689752132272</v>
      </c>
      <c r="Y13" s="30" t="n">
        <f aca="false">PI()*POWER(Y12/2,2)</f>
        <v>0.00123162998391334</v>
      </c>
      <c r="Z13" s="30" t="n">
        <f aca="false">PI()*POWER(Z12/2,2)</f>
        <v>0.000834689752132272</v>
      </c>
    </row>
    <row r="14" customFormat="false" ht="14.65" hidden="false" customHeight="true" outlineLevel="0" collapsed="false">
      <c r="A14" s="5"/>
      <c r="B14" s="18" t="s">
        <v>20</v>
      </c>
      <c r="C14" s="19" t="n">
        <v>3</v>
      </c>
      <c r="D14" s="31" t="n">
        <f aca="false">C14</f>
        <v>3</v>
      </c>
      <c r="E14" s="7"/>
      <c r="F14" s="24"/>
      <c r="G14" s="24"/>
      <c r="H14" s="5"/>
      <c r="I14" s="5"/>
      <c r="J14" s="5"/>
      <c r="U14" s="3" t="s">
        <v>21</v>
      </c>
      <c r="V14" s="4" t="s">
        <v>22</v>
      </c>
      <c r="W14" s="32" t="n">
        <f aca="false">0.00005833*W9^3-0.004429*W9^2-0.4558*W9+967.6</f>
        <v>967.6</v>
      </c>
      <c r="X14" s="32" t="n">
        <f aca="false">0.00005833*X9^3-0.004429*X9^2-0.4558*X9+967.6</f>
        <v>967.6</v>
      </c>
      <c r="Y14" s="32" t="n">
        <f aca="false">0.00005833*Y9^3-0.004429*Y9^2-0.4558*Y9+967.6</f>
        <v>967.6</v>
      </c>
      <c r="Z14" s="32" t="n">
        <f aca="false">0.00005833*Z9^3-0.004429*Z9^2-0.4558*Z9+967.6</f>
        <v>967.6</v>
      </c>
    </row>
    <row r="15" customFormat="false" ht="14.65" hidden="false" customHeight="true" outlineLevel="0" collapsed="false">
      <c r="A15" s="5"/>
      <c r="B15" s="18" t="s">
        <v>23</v>
      </c>
      <c r="C15" s="7" t="s">
        <v>24</v>
      </c>
      <c r="D15" s="33" t="n">
        <f aca="false">0.000002109*W9*W9*W9-0.0000904*W9*W9+0.0007014*W9+4.076</f>
        <v>4.076</v>
      </c>
      <c r="E15" s="7"/>
      <c r="F15" s="24"/>
      <c r="G15" s="24"/>
      <c r="H15" s="5"/>
      <c r="I15" s="5"/>
      <c r="J15" s="5"/>
      <c r="W15" s="32"/>
      <c r="X15" s="32"/>
      <c r="Y15" s="32"/>
      <c r="Z15" s="32"/>
    </row>
    <row r="16" customFormat="false" ht="14.65" hidden="false" customHeight="true" outlineLevel="0" collapsed="false">
      <c r="A16" s="5"/>
      <c r="B16" s="18" t="s">
        <v>25</v>
      </c>
      <c r="C16" s="34" t="n">
        <v>1</v>
      </c>
      <c r="D16" s="35" t="str">
        <f aca="false">"Valittu "&amp;C16&amp;" kpl"</f>
        <v>Valittu 1 kpl</v>
      </c>
      <c r="E16" s="36" t="str">
        <f aca="false">IF(C16&lt;2,C16&amp;" kaivo",C16&amp;" kaivoa")</f>
        <v>1 kaivo</v>
      </c>
      <c r="F16" s="29"/>
      <c r="G16" s="29"/>
      <c r="H16" s="5"/>
      <c r="I16" s="5"/>
      <c r="J16" s="5"/>
      <c r="U16" s="3" t="s">
        <v>26</v>
      </c>
      <c r="V16" s="4" t="s">
        <v>27</v>
      </c>
      <c r="W16" s="37" t="n">
        <f aca="false">(-0.000332*W9^3+0.0137*W9^2-0.358*W9+6.48)/1000</f>
        <v>0.00648</v>
      </c>
      <c r="X16" s="37" t="n">
        <f aca="false">(-0.000332*E12^3+0.0137*E12^2-0.358*E12+6.48)/1000</f>
        <v>0.00648</v>
      </c>
      <c r="Y16" s="37" t="n">
        <f aca="false">(-0.000332*F12^3+0.0137*F12^2-0.358*F12+6.48)/1000</f>
        <v>0.00648</v>
      </c>
      <c r="Z16" s="37" t="n">
        <f aca="false">(-0.000332*G12^3+0.0137*G12^2-0.358*G12+6.48)/1000</f>
        <v>0.00648</v>
      </c>
    </row>
    <row r="17" customFormat="false" ht="14.65" hidden="false" customHeight="true" outlineLevel="0" collapsed="false">
      <c r="A17" s="5"/>
      <c r="B17" s="18" t="s">
        <v>28</v>
      </c>
      <c r="C17" s="38"/>
      <c r="D17" s="39" t="s">
        <v>29</v>
      </c>
      <c r="E17" s="39" t="s">
        <v>29</v>
      </c>
      <c r="F17" s="24"/>
      <c r="G17" s="24"/>
      <c r="H17" s="5"/>
      <c r="I17" s="5"/>
      <c r="J17" s="5"/>
      <c r="U17" s="3" t="s">
        <v>30</v>
      </c>
      <c r="V17" s="4" t="s">
        <v>31</v>
      </c>
      <c r="W17" s="40" t="n">
        <f aca="false">W16/W14</f>
        <v>6.69698222405953E-006</v>
      </c>
      <c r="X17" s="40" t="n">
        <f aca="false">X16/X14</f>
        <v>6.69698222405953E-006</v>
      </c>
      <c r="Y17" s="40" t="n">
        <f aca="false">Y16/Y14</f>
        <v>6.69698222405953E-006</v>
      </c>
      <c r="Z17" s="40" t="n">
        <f aca="false">Z16/Z14</f>
        <v>6.69698222405953E-006</v>
      </c>
    </row>
    <row r="18" customFormat="false" ht="14.65" hidden="false" customHeight="true" outlineLevel="0" collapsed="false">
      <c r="A18" s="5"/>
      <c r="B18" s="41" t="s">
        <v>32</v>
      </c>
      <c r="C18" s="7"/>
      <c r="D18" s="42" t="s">
        <v>33</v>
      </c>
      <c r="E18" s="43" t="s">
        <v>34</v>
      </c>
      <c r="F18" s="24"/>
      <c r="G18" s="24"/>
      <c r="H18" s="5"/>
      <c r="I18" s="5"/>
      <c r="J18" s="5"/>
      <c r="W18" s="40"/>
      <c r="X18" s="40"/>
      <c r="Y18" s="40"/>
      <c r="Z18" s="40"/>
    </row>
    <row r="19" customFormat="false" ht="14.65" hidden="false" customHeight="true" outlineLevel="0" collapsed="false">
      <c r="A19" s="5"/>
      <c r="B19" s="18" t="s">
        <v>35</v>
      </c>
      <c r="C19" s="7" t="s">
        <v>36</v>
      </c>
      <c r="D19" s="44" t="n">
        <f aca="false">D12/D14/D15</f>
        <v>0.550989532221132</v>
      </c>
      <c r="E19" s="45" t="n">
        <f aca="false">D19/C$16</f>
        <v>0.550989532221132</v>
      </c>
      <c r="F19" s="24"/>
      <c r="G19" s="24"/>
      <c r="H19" s="5"/>
      <c r="I19" s="5"/>
      <c r="J19" s="5"/>
      <c r="W19" s="40"/>
      <c r="X19" s="40"/>
      <c r="Y19" s="40"/>
      <c r="Z19" s="40"/>
    </row>
    <row r="20" customFormat="false" ht="12.85" hidden="false" customHeight="true" outlineLevel="0" collapsed="false">
      <c r="A20" s="5"/>
      <c r="B20" s="18" t="s">
        <v>37</v>
      </c>
      <c r="C20" s="7" t="s">
        <v>38</v>
      </c>
      <c r="D20" s="46" t="n">
        <f aca="false">60*D19</f>
        <v>33.0593719332679</v>
      </c>
      <c r="E20" s="47" t="n">
        <f aca="false">D20/C$16</f>
        <v>33.0593719332679</v>
      </c>
      <c r="F20" s="7"/>
      <c r="G20" s="7"/>
      <c r="H20" s="0"/>
      <c r="I20" s="0"/>
      <c r="J20" s="5"/>
      <c r="U20" s="3" t="s">
        <v>39</v>
      </c>
      <c r="V20" s="4" t="s">
        <v>40</v>
      </c>
      <c r="W20" s="48" t="n">
        <f aca="false">(W10/W13/1000)/D26</f>
        <v>0.566197750806329</v>
      </c>
      <c r="X20" s="48" t="n">
        <f aca="false">(X10/X13/1000)/E26</f>
        <v>0.660112971093261</v>
      </c>
      <c r="Y20" s="48" t="n">
        <f aca="false">(Y10/Y13/1000)/F26</f>
        <v>0.44736612409389</v>
      </c>
      <c r="Z20" s="48" t="n">
        <f aca="false">(Z10/Z13/1000)/G26</f>
        <v>0.660112971093261</v>
      </c>
    </row>
    <row r="21" customFormat="false" ht="12.85" hidden="false" customHeight="true" outlineLevel="0" collapsed="false">
      <c r="A21" s="5"/>
      <c r="B21" s="49" t="s">
        <v>41</v>
      </c>
      <c r="C21" s="50" t="s">
        <v>42</v>
      </c>
      <c r="D21" s="51" t="n">
        <f aca="false">60*D20/1000</f>
        <v>1.98356231599607</v>
      </c>
      <c r="E21" s="52" t="n">
        <f aca="false">D21/C$16</f>
        <v>1.98356231599607</v>
      </c>
      <c r="F21" s="7"/>
      <c r="G21" s="7"/>
      <c r="H21" s="0"/>
      <c r="I21" s="0"/>
      <c r="J21" s="5"/>
      <c r="U21" s="3" t="s">
        <v>43</v>
      </c>
      <c r="V21" s="53"/>
      <c r="W21" s="54" t="n">
        <f aca="false">W20*W12/W17</f>
        <v>2975.99129900358</v>
      </c>
      <c r="X21" s="54" t="n">
        <f aca="false">X20*X12/X17</f>
        <v>3213.34029831061</v>
      </c>
      <c r="Y21" s="54" t="n">
        <f aca="false">Y20*Y12/Y17</f>
        <v>2645.32559911429</v>
      </c>
      <c r="Z21" s="54" t="n">
        <f aca="false">Z20*Z12/Z17</f>
        <v>3213.34029831061</v>
      </c>
    </row>
    <row r="22" customFormat="false" ht="14.65" hidden="false" customHeight="true" outlineLevel="0" collapsed="false">
      <c r="A22" s="5"/>
      <c r="B22" s="7"/>
      <c r="C22" s="7"/>
      <c r="D22" s="7"/>
      <c r="E22" s="7"/>
      <c r="F22" s="7"/>
      <c r="G22" s="7"/>
      <c r="H22" s="0"/>
      <c r="I22" s="0"/>
      <c r="J22" s="5"/>
      <c r="U22" s="3" t="s">
        <v>44</v>
      </c>
      <c r="V22" s="54" t="s">
        <v>45</v>
      </c>
      <c r="W22" s="4" t="n">
        <f aca="false">VLOOKUP(W8,$U46:$Z60,5,1)</f>
        <v>1100</v>
      </c>
      <c r="X22" s="4" t="n">
        <f aca="false">VLOOKUP(X8,$U46:$Z60,5,1)</f>
        <v>1100</v>
      </c>
      <c r="Y22" s="4" t="n">
        <f aca="false">VLOOKUP(Y8,$U46:$Z60,5,1)</f>
        <v>1100</v>
      </c>
      <c r="Z22" s="4" t="n">
        <f aca="false">VLOOKUP(Z8,$U46:$Z60,5,1)</f>
        <v>1100</v>
      </c>
    </row>
    <row r="23" customFormat="false" ht="14.65" hidden="false" customHeight="true" outlineLevel="0" collapsed="false">
      <c r="A23" s="5"/>
      <c r="B23" s="55" t="s">
        <v>46</v>
      </c>
      <c r="C23" s="55"/>
      <c r="D23" s="55"/>
      <c r="E23" s="56" t="n">
        <f aca="false">C24</f>
        <v>0.550989532221132</v>
      </c>
      <c r="F23" s="57" t="n">
        <f aca="false">60*E23</f>
        <v>33.0593719332679</v>
      </c>
      <c r="G23" s="58" t="n">
        <f aca="false">60*F23/1000</f>
        <v>1.98356231599607</v>
      </c>
      <c r="H23" s="0"/>
      <c r="I23" s="0"/>
      <c r="J23" s="5"/>
      <c r="U23" s="3" t="s">
        <v>47</v>
      </c>
      <c r="V23" s="54" t="s">
        <v>48</v>
      </c>
      <c r="W23" s="4" t="n">
        <f aca="false">VLOOKUP(W8,$U46:$Z60,6,1)</f>
        <v>3700</v>
      </c>
      <c r="X23" s="4" t="n">
        <f aca="false">VLOOKUP(X8,$U46:$Z60,6,1)</f>
        <v>3700</v>
      </c>
      <c r="Y23" s="4" t="n">
        <f aca="false">VLOOKUP(Y8,$U46:$Z60,6,1)</f>
        <v>3700</v>
      </c>
      <c r="Z23" s="4" t="n">
        <f aca="false">VLOOKUP(Z8,$U46:$Z60,6,1)</f>
        <v>3700</v>
      </c>
    </row>
    <row r="24" customFormat="false" ht="14.65" hidden="false" customHeight="true" outlineLevel="0" collapsed="false">
      <c r="A24" s="5"/>
      <c r="B24" s="59" t="s">
        <v>49</v>
      </c>
      <c r="C24" s="60" t="n">
        <f aca="false">E19</f>
        <v>0.550989532221132</v>
      </c>
      <c r="D24" s="61" t="s">
        <v>50</v>
      </c>
      <c r="E24" s="61" t="s">
        <v>51</v>
      </c>
      <c r="F24" s="61" t="s">
        <v>52</v>
      </c>
      <c r="G24" s="62" t="s">
        <v>53</v>
      </c>
      <c r="H24" s="0"/>
      <c r="I24" s="0"/>
      <c r="J24" s="5"/>
      <c r="U24" s="3" t="s">
        <v>54</v>
      </c>
      <c r="V24" s="4" t="s">
        <v>16</v>
      </c>
      <c r="W24" s="48" t="n">
        <f aca="false">(64*D25*POWER(W20,2))/(W21*W12*2*9.82)</f>
        <v>3.98896697628856</v>
      </c>
      <c r="X24" s="48" t="n">
        <f aca="false">(64*E25*POWER(X20,2))/(X21*X12*2*9.82)</f>
        <v>0</v>
      </c>
      <c r="Y24" s="48" t="n">
        <f aca="false">(64*F25*POWER(Y20,2))/(Y21*Y12*2*9.82)</f>
        <v>0</v>
      </c>
      <c r="Z24" s="48" t="n">
        <f aca="false">(64*G25*POWER(Z20,2))/(Z21*Z12*2*9.82)</f>
        <v>0</v>
      </c>
    </row>
    <row r="25" customFormat="false" ht="14.65" hidden="false" customHeight="true" outlineLevel="0" collapsed="false">
      <c r="A25" s="5"/>
      <c r="B25" s="59" t="s">
        <v>55</v>
      </c>
      <c r="C25" s="7" t="s">
        <v>56</v>
      </c>
      <c r="D25" s="63" t="n">
        <v>400</v>
      </c>
      <c r="E25" s="63" t="n">
        <v>0</v>
      </c>
      <c r="F25" s="63" t="n">
        <v>0</v>
      </c>
      <c r="G25" s="64" t="n">
        <v>0</v>
      </c>
      <c r="H25" s="0"/>
      <c r="I25" s="0"/>
      <c r="J25" s="5"/>
      <c r="U25" s="3" t="s">
        <v>57</v>
      </c>
      <c r="V25" s="4" t="s">
        <v>16</v>
      </c>
      <c r="W25" s="48" t="n">
        <f aca="false">0.34844*POWER(W21,-0.25959)*D25*POWER(W20,2)/(W12*2*9.82)</f>
        <v>8.10438543231514</v>
      </c>
      <c r="X25" s="48" t="n">
        <f aca="false">0.34844*POWER(X21,-0.25959)*E25*POWER(X20,2)/(X12*2*9.82)</f>
        <v>0</v>
      </c>
      <c r="Y25" s="48" t="n">
        <f aca="false">0.34844*POWER(Y21,-0.25959)*F25*POWER(Y20,2)/(Y12*2*9.82)</f>
        <v>0</v>
      </c>
      <c r="Z25" s="48" t="n">
        <f aca="false">0.34844*POWER(Z21,-0.25959)*G25*POWER(Z20,2)/(Z12*2*9.82)</f>
        <v>0</v>
      </c>
    </row>
    <row r="26" customFormat="false" ht="14.65" hidden="false" customHeight="true" outlineLevel="0" collapsed="false">
      <c r="A26" s="5"/>
      <c r="B26" s="59" t="s">
        <v>58</v>
      </c>
      <c r="C26" s="7" t="s">
        <v>59</v>
      </c>
      <c r="D26" s="65" t="n">
        <v>1</v>
      </c>
      <c r="E26" s="65" t="n">
        <v>1</v>
      </c>
      <c r="F26" s="65" t="n">
        <v>1</v>
      </c>
      <c r="G26" s="66" t="n">
        <v>1</v>
      </c>
      <c r="H26" s="0"/>
      <c r="I26" s="0"/>
      <c r="J26" s="5"/>
      <c r="U26" s="3" t="s">
        <v>54</v>
      </c>
      <c r="V26" s="4" t="s">
        <v>60</v>
      </c>
      <c r="W26" s="32" t="n">
        <f aca="false">W14*9.82*W24/1000</f>
        <v>37.9024940622419</v>
      </c>
      <c r="X26" s="32" t="n">
        <f aca="false">X14*9.82*X24/1000</f>
        <v>0</v>
      </c>
      <c r="Y26" s="32" t="n">
        <f aca="false">Y14*9.82*Y24/1000</f>
        <v>0</v>
      </c>
      <c r="Z26" s="32" t="n">
        <f aca="false">Z14*9.82*Z24/1000</f>
        <v>0</v>
      </c>
    </row>
    <row r="27" customFormat="false" ht="14.65" hidden="false" customHeight="true" outlineLevel="0" collapsed="false">
      <c r="A27" s="5"/>
      <c r="B27" s="59" t="s">
        <v>61</v>
      </c>
      <c r="C27" s="7" t="s">
        <v>62</v>
      </c>
      <c r="D27" s="67" t="s">
        <v>63</v>
      </c>
      <c r="E27" s="67" t="s">
        <v>64</v>
      </c>
      <c r="F27" s="67" t="s">
        <v>65</v>
      </c>
      <c r="G27" s="68" t="s">
        <v>66</v>
      </c>
      <c r="H27" s="0"/>
      <c r="I27" s="0"/>
      <c r="J27" s="5"/>
      <c r="U27" s="3" t="s">
        <v>57</v>
      </c>
      <c r="V27" s="4" t="s">
        <v>60</v>
      </c>
      <c r="W27" s="32" t="n">
        <f aca="false">W14*9.82*W25/1000</f>
        <v>77.0065088411059</v>
      </c>
      <c r="X27" s="32" t="n">
        <f aca="false">X14*9.82*X25/1000</f>
        <v>0</v>
      </c>
      <c r="Y27" s="32" t="n">
        <f aca="false">Y14*9.82*Y25/1000</f>
        <v>0</v>
      </c>
      <c r="Z27" s="32" t="n">
        <f aca="false">Z14*9.82*Z25/1000</f>
        <v>0</v>
      </c>
    </row>
    <row r="28" customFormat="false" ht="14.65" hidden="false" customHeight="true" outlineLevel="0" collapsed="false">
      <c r="A28" s="5"/>
      <c r="B28" s="59" t="s">
        <v>67</v>
      </c>
      <c r="C28" s="7" t="s">
        <v>68</v>
      </c>
      <c r="D28" s="69" t="n">
        <f aca="false">VLOOKUP(D27,$U$46:$X$60,2)</f>
        <v>40</v>
      </c>
      <c r="E28" s="69" t="n">
        <f aca="false">VLOOKUP(E27,$U$46:$X$60,2)</f>
        <v>40</v>
      </c>
      <c r="F28" s="69" t="n">
        <f aca="false">VLOOKUP(F27,$U$46:$X$60,2)</f>
        <v>45</v>
      </c>
      <c r="G28" s="70" t="n">
        <f aca="false">VLOOKUP(G27,$U$46:$X$60,2)</f>
        <v>40</v>
      </c>
      <c r="H28" s="0"/>
      <c r="I28" s="0"/>
      <c r="J28" s="5"/>
      <c r="U28" s="25" t="s">
        <v>69</v>
      </c>
      <c r="V28" s="26" t="s">
        <v>70</v>
      </c>
      <c r="W28" s="26" t="str">
        <f aca="false">IF(W21&gt;W22,"Turbulent","Laminar")</f>
        <v>Turbulent</v>
      </c>
      <c r="X28" s="26" t="str">
        <f aca="false">IF(X21&gt;X22,"Turbulent","Laminar")</f>
        <v>Turbulent</v>
      </c>
      <c r="Y28" s="26" t="str">
        <f aca="false">IF(Y21&gt;Y22,"Turbulent","Laminar")</f>
        <v>Turbulent</v>
      </c>
      <c r="Z28" s="26" t="str">
        <f aca="false">IF(Z21&gt;Z22,"Turbulent","Laminar")</f>
        <v>Turbulent</v>
      </c>
    </row>
    <row r="29" customFormat="false" ht="14.65" hidden="false" customHeight="true" outlineLevel="0" collapsed="false">
      <c r="A29" s="5"/>
      <c r="B29" s="59" t="s">
        <v>71</v>
      </c>
      <c r="C29" s="7" t="s">
        <v>68</v>
      </c>
      <c r="D29" s="69" t="n">
        <f aca="false">VLOOKUP(D27,$U$46:$X$60,3)</f>
        <v>2.4</v>
      </c>
      <c r="E29" s="69" t="n">
        <f aca="false">VLOOKUP(E27,$U$46:$X$60,3)</f>
        <v>3.7</v>
      </c>
      <c r="F29" s="69" t="n">
        <f aca="false">VLOOKUP(F27,$U$46:$X$60,3)</f>
        <v>2.7</v>
      </c>
      <c r="G29" s="70" t="n">
        <f aca="false">VLOOKUP(G27,$U$46:$X$60,3)</f>
        <v>3.7</v>
      </c>
      <c r="H29" s="0"/>
      <c r="I29" s="0"/>
      <c r="J29" s="5"/>
      <c r="U29" s="25" t="s">
        <v>72</v>
      </c>
      <c r="V29" s="26" t="s">
        <v>60</v>
      </c>
      <c r="W29" s="71" t="n">
        <f aca="false">IF(W21&gt;W22,W27,W26)</f>
        <v>77.0065088411059</v>
      </c>
      <c r="X29" s="71" t="n">
        <f aca="false">IF(X21&gt;X22,X27,X26)</f>
        <v>0</v>
      </c>
      <c r="Y29" s="71" t="n">
        <f aca="false">IF(Y21&gt;Y22,Y27,Y26)</f>
        <v>0</v>
      </c>
      <c r="Z29" s="71" t="n">
        <f aca="false">IF(Z21&gt;Z22,Z27,Z26)</f>
        <v>0</v>
      </c>
    </row>
    <row r="30" customFormat="false" ht="14.65" hidden="false" customHeight="true" outlineLevel="0" collapsed="false">
      <c r="A30" s="5"/>
      <c r="B30" s="59" t="s">
        <v>73</v>
      </c>
      <c r="C30" s="7" t="s">
        <v>68</v>
      </c>
      <c r="D30" s="69" t="n">
        <f aca="false">VLOOKUP(D27,$U$46:$Z$60,4)</f>
        <v>35.2</v>
      </c>
      <c r="E30" s="69" t="n">
        <f aca="false">VLOOKUP(E27,$U$46:$Z$60,4)</f>
        <v>32.6</v>
      </c>
      <c r="F30" s="69" t="n">
        <f aca="false">VLOOKUP(F27,$U$46:$Z$60,4)</f>
        <v>39.6</v>
      </c>
      <c r="G30" s="70" t="n">
        <f aca="false">VLOOKUP(G27,$U$46:$Z$60,4)</f>
        <v>32.6</v>
      </c>
      <c r="H30" s="0"/>
      <c r="I30" s="0"/>
      <c r="J30" s="5"/>
      <c r="U30" s="25" t="s">
        <v>74</v>
      </c>
      <c r="V30" s="26" t="s">
        <v>60</v>
      </c>
      <c r="W30" s="71" t="n">
        <f aca="false">IF(W21&gt;W23,W27,IF(W21&gt;W22,(W21-W22)*(W27-W26)/(W23-W22)+W26,W26))</f>
        <v>66.117413862725</v>
      </c>
      <c r="X30" s="71" t="n">
        <f aca="false">IF(X21&gt;X23,X27,IF(X21&gt;X22,(X21-X22)*(X27-X26)/(X23-X22)+X26,X26))</f>
        <v>0</v>
      </c>
      <c r="Y30" s="71" t="n">
        <f aca="false">IF(Y21&gt;Y23,Y27,IF(Y21&gt;Y22,(Y21-Y22)*(Y27-Y26)/(Y23-Y22)+Y26,Y26))</f>
        <v>0</v>
      </c>
      <c r="Z30" s="71" t="n">
        <f aca="false">IF(Z21&gt;Z23,Z27,IF(Z21&gt;Z22,(Z21-Z22)*(Z27-Z26)/(Z23-Z22)+Z26,Z26))</f>
        <v>0</v>
      </c>
    </row>
    <row r="31" customFormat="false" ht="14.65" hidden="false" customHeight="true" outlineLevel="0" collapsed="false">
      <c r="A31" s="5"/>
      <c r="B31" s="59" t="s">
        <v>75</v>
      </c>
      <c r="C31" s="7" t="s">
        <v>76</v>
      </c>
      <c r="D31" s="72" t="n">
        <f aca="false">W34</f>
        <v>0.973139740375974</v>
      </c>
      <c r="E31" s="72" t="n">
        <f aca="false">X34</f>
        <v>0.834689752132272</v>
      </c>
      <c r="F31" s="72" t="n">
        <f aca="false">Y34</f>
        <v>1.23162998391334</v>
      </c>
      <c r="G31" s="73" t="n">
        <f aca="false">Z34</f>
        <v>0.834689752132272</v>
      </c>
      <c r="H31" s="5"/>
      <c r="I31" s="5"/>
      <c r="J31" s="5"/>
    </row>
    <row r="32" customFormat="false" ht="12.85" hidden="false" customHeight="true" outlineLevel="0" collapsed="false">
      <c r="A32" s="5"/>
      <c r="B32" s="59" t="s">
        <v>77</v>
      </c>
      <c r="C32" s="7" t="s">
        <v>78</v>
      </c>
      <c r="D32" s="74" t="n">
        <f aca="false">D26*D25*D31</f>
        <v>389.25589615039</v>
      </c>
      <c r="E32" s="74" t="n">
        <f aca="false">E26*E25*E31</f>
        <v>0</v>
      </c>
      <c r="F32" s="74" t="n">
        <f aca="false">F26*F25*F31</f>
        <v>0</v>
      </c>
      <c r="G32" s="75" t="n">
        <f aca="false">G26*G25*G31</f>
        <v>0</v>
      </c>
      <c r="H32" s="5"/>
      <c r="I32" s="5"/>
      <c r="J32" s="5"/>
      <c r="Y32" s="76"/>
      <c r="Z32" s="77"/>
    </row>
    <row r="33" customFormat="false" ht="12.85" hidden="false" customHeight="true" outlineLevel="0" collapsed="false">
      <c r="A33" s="5"/>
      <c r="B33" s="59" t="s">
        <v>79</v>
      </c>
      <c r="C33" s="7"/>
      <c r="D33" s="78" t="n">
        <f aca="false">W30</f>
        <v>66.117413862725</v>
      </c>
      <c r="E33" s="78" t="n">
        <f aca="false">X30</f>
        <v>0</v>
      </c>
      <c r="F33" s="78" t="n">
        <f aca="false">Y30</f>
        <v>0</v>
      </c>
      <c r="G33" s="79" t="n">
        <f aca="false">Z30</f>
        <v>0</v>
      </c>
      <c r="H33" s="5"/>
      <c r="I33" s="5"/>
      <c r="J33" s="5"/>
    </row>
    <row r="34" customFormat="false" ht="12.85" hidden="false" customHeight="true" outlineLevel="0" collapsed="false">
      <c r="A34" s="5"/>
      <c r="B34" s="59" t="s">
        <v>80</v>
      </c>
      <c r="C34" s="7"/>
      <c r="D34" s="80" t="n">
        <f aca="false">SUM(D25:G25)</f>
        <v>400</v>
      </c>
      <c r="E34" s="80"/>
      <c r="F34" s="80"/>
      <c r="G34" s="80"/>
      <c r="H34" s="5"/>
      <c r="I34" s="5"/>
      <c r="J34" s="5"/>
      <c r="U34" s="3" t="s">
        <v>75</v>
      </c>
      <c r="V34" s="4" t="s">
        <v>76</v>
      </c>
      <c r="W34" s="81" t="n">
        <f aca="false">1000*W13</f>
        <v>0.973139740375974</v>
      </c>
      <c r="X34" s="81" t="n">
        <f aca="false">1000*X13</f>
        <v>0.834689752132272</v>
      </c>
      <c r="Y34" s="81" t="n">
        <f aca="false">1000*Y13</f>
        <v>1.23162998391334</v>
      </c>
      <c r="Z34" s="81" t="n">
        <f aca="false">1000*Z13</f>
        <v>0.834689752132272</v>
      </c>
    </row>
    <row r="35" customFormat="false" ht="12.85" hidden="false" customHeight="true" outlineLevel="0" collapsed="false">
      <c r="A35" s="5"/>
      <c r="B35" s="59" t="s">
        <v>81</v>
      </c>
      <c r="C35" s="7"/>
      <c r="D35" s="82" t="n">
        <f aca="false">SUM(D32:G32)</f>
        <v>389.25589615039</v>
      </c>
      <c r="E35" s="82"/>
      <c r="F35" s="82"/>
      <c r="G35" s="82"/>
      <c r="H35" s="5"/>
      <c r="I35" s="5"/>
      <c r="J35" s="5"/>
      <c r="W35" s="81"/>
      <c r="X35" s="81"/>
      <c r="Y35" s="81"/>
      <c r="Z35" s="81"/>
    </row>
    <row r="36" customFormat="false" ht="12.85" hidden="false" customHeight="true" outlineLevel="0" collapsed="false">
      <c r="A36" s="5"/>
      <c r="B36" s="59" t="s">
        <v>82</v>
      </c>
      <c r="C36" s="7"/>
      <c r="D36" s="83" t="str">
        <f aca="false">ROUND(D35/C24,0)&amp;" sekuntia = "&amp;ROUND(10*D35/C24/60,0)/10&amp;" minuuttia"</f>
        <v>706 sekuntia = 11,8 minuuttia</v>
      </c>
      <c r="E36" s="83"/>
      <c r="F36" s="83"/>
      <c r="G36" s="83"/>
      <c r="H36" s="5"/>
      <c r="I36" s="5"/>
      <c r="J36" s="5"/>
      <c r="W36" s="81"/>
      <c r="X36" s="81"/>
      <c r="Y36" s="81"/>
      <c r="Z36" s="81"/>
    </row>
    <row r="37" customFormat="false" ht="12.85" hidden="false" customHeight="true" outlineLevel="0" collapsed="false">
      <c r="A37" s="5"/>
      <c r="B37" s="59" t="s">
        <v>83</v>
      </c>
      <c r="C37" s="7"/>
      <c r="D37" s="84" t="n">
        <f aca="false">SUM(D33:G33)</f>
        <v>66.117413862725</v>
      </c>
      <c r="E37" s="84"/>
      <c r="F37" s="84"/>
      <c r="G37" s="84"/>
      <c r="H37" s="5"/>
      <c r="I37" s="5"/>
      <c r="J37" s="5"/>
    </row>
    <row r="38" customFormat="false" ht="12.85" hidden="false" customHeight="true" outlineLevel="0" collapsed="false">
      <c r="A38" s="5"/>
      <c r="B38" s="85" t="s">
        <v>84</v>
      </c>
      <c r="C38" s="86"/>
      <c r="D38" s="87" t="n">
        <f aca="false">D37/100</f>
        <v>0.66117413862725</v>
      </c>
      <c r="E38" s="87"/>
      <c r="F38" s="87"/>
      <c r="G38" s="87"/>
      <c r="H38" s="5"/>
      <c r="I38" s="5"/>
      <c r="J38" s="5"/>
    </row>
    <row r="39" customFormat="false" ht="12.85" hidden="false" customHeight="true" outlineLevel="0" collapsed="false">
      <c r="A39" s="5"/>
      <c r="B39" s="6"/>
      <c r="C39" s="6"/>
      <c r="D39" s="6"/>
      <c r="E39" s="6"/>
      <c r="F39" s="6"/>
      <c r="G39" s="6"/>
      <c r="H39" s="5"/>
      <c r="I39" s="5"/>
      <c r="J39" s="5"/>
      <c r="W39" s="88"/>
      <c r="X39" s="88"/>
      <c r="Y39" s="88"/>
      <c r="Z39" s="88"/>
    </row>
    <row r="40" customFormat="false" ht="12.85" hidden="false" customHeight="true" outlineLevel="0" collapsed="false">
      <c r="A40" s="5"/>
      <c r="B40" s="6"/>
      <c r="C40" s="6"/>
      <c r="D40" s="6"/>
      <c r="E40" s="6"/>
      <c r="F40" s="6"/>
      <c r="G40" s="6"/>
      <c r="H40" s="5"/>
      <c r="I40" s="5"/>
      <c r="J40" s="5"/>
      <c r="W40" s="88"/>
      <c r="X40" s="88"/>
      <c r="Y40" s="88"/>
      <c r="Z40" s="88"/>
    </row>
    <row r="41" customFormat="false" ht="12.85" hidden="false" customHeight="true" outlineLevel="0" collapsed="false">
      <c r="A41" s="5"/>
      <c r="B41" s="6"/>
      <c r="C41" s="6"/>
      <c r="D41" s="6"/>
      <c r="E41" s="6"/>
      <c r="F41" s="6"/>
      <c r="G41" s="6"/>
      <c r="H41" s="5"/>
      <c r="I41" s="5"/>
      <c r="J41" s="5"/>
      <c r="W41" s="88"/>
      <c r="X41" s="88"/>
      <c r="Y41" s="88"/>
      <c r="Z41" s="88"/>
    </row>
    <row r="42" customFormat="false" ht="12.85" hidden="false" customHeight="true" outlineLevel="0" collapsed="false">
      <c r="A42" s="5"/>
      <c r="B42" s="89" t="s">
        <v>85</v>
      </c>
      <c r="C42" s="89"/>
      <c r="D42" s="14" t="s">
        <v>86</v>
      </c>
      <c r="E42" s="90" t="s">
        <v>87</v>
      </c>
      <c r="F42" s="91" t="s">
        <v>15</v>
      </c>
      <c r="G42" s="7"/>
      <c r="H42" s="5"/>
      <c r="I42" s="5"/>
      <c r="J42" s="0"/>
      <c r="W42" s="92"/>
      <c r="X42" s="92"/>
      <c r="Y42" s="92"/>
      <c r="Z42" s="92"/>
    </row>
    <row r="43" customFormat="false" ht="12.85" hidden="false" customHeight="true" outlineLevel="0" collapsed="false">
      <c r="A43" s="5"/>
      <c r="B43" s="89"/>
      <c r="C43" s="89"/>
      <c r="D43" s="93" t="n">
        <v>40</v>
      </c>
      <c r="E43" s="94" t="n">
        <v>3.7</v>
      </c>
      <c r="F43" s="95" t="n">
        <f aca="false">D43-(2*E43)</f>
        <v>32.6</v>
      </c>
      <c r="G43" s="7"/>
      <c r="H43" s="5"/>
      <c r="I43" s="5"/>
      <c r="J43" s="5"/>
      <c r="W43" s="92"/>
      <c r="X43" s="92"/>
      <c r="Y43" s="92"/>
      <c r="Z43" s="92"/>
    </row>
    <row r="44" customFormat="false" ht="12.85" hidden="false" customHeight="true" outlineLevel="0" collapsed="false">
      <c r="A44" s="5"/>
      <c r="B44" s="6"/>
      <c r="C44" s="7"/>
      <c r="D44" s="7"/>
      <c r="E44" s="96"/>
      <c r="F44" s="96"/>
      <c r="G44" s="7"/>
    </row>
    <row r="45" customFormat="false" ht="12.85" hidden="false" customHeight="true" outlineLevel="0" collapsed="false">
      <c r="A45" s="5"/>
      <c r="B45" s="6"/>
      <c r="C45" s="7"/>
      <c r="D45" s="7"/>
      <c r="E45" s="96"/>
      <c r="F45" s="96"/>
      <c r="G45" s="7"/>
      <c r="U45" s="4" t="s">
        <v>88</v>
      </c>
      <c r="V45" s="97" t="s">
        <v>86</v>
      </c>
      <c r="W45" s="97" t="s">
        <v>87</v>
      </c>
      <c r="X45" s="97" t="s">
        <v>15</v>
      </c>
      <c r="Y45" s="97" t="s">
        <v>45</v>
      </c>
      <c r="Z45" s="4" t="s">
        <v>48</v>
      </c>
      <c r="AA45" s="0"/>
    </row>
    <row r="46" customFormat="false" ht="12.85" hidden="false" customHeight="true" outlineLevel="0" collapsed="false">
      <c r="A46" s="5"/>
      <c r="B46" s="6"/>
      <c r="C46" s="7"/>
      <c r="D46" s="7"/>
      <c r="E46" s="96"/>
      <c r="F46" s="96"/>
      <c r="G46" s="7"/>
      <c r="U46" s="4" t="s">
        <v>89</v>
      </c>
      <c r="V46" s="98" t="n">
        <v>32</v>
      </c>
      <c r="W46" s="97" t="n">
        <v>2</v>
      </c>
      <c r="X46" s="97" t="n">
        <f aca="false">V46-2*W46</f>
        <v>28</v>
      </c>
      <c r="Y46" s="98" t="n">
        <v>1100</v>
      </c>
      <c r="Z46" s="98" t="n">
        <v>3700</v>
      </c>
      <c r="AA46" s="0"/>
    </row>
    <row r="47" customFormat="false" ht="12.85" hidden="false" customHeight="true" outlineLevel="0" collapsed="false">
      <c r="A47" s="5"/>
      <c r="B47" s="6"/>
      <c r="C47" s="7"/>
      <c r="D47" s="7"/>
      <c r="E47" s="99"/>
      <c r="F47" s="7"/>
      <c r="G47" s="7"/>
      <c r="U47" s="4" t="s">
        <v>90</v>
      </c>
      <c r="V47" s="100" t="n">
        <v>32</v>
      </c>
      <c r="W47" s="97" t="n">
        <v>3</v>
      </c>
      <c r="X47" s="97" t="n">
        <f aca="false">V47-2*W47</f>
        <v>26</v>
      </c>
      <c r="Y47" s="98" t="n">
        <v>1100</v>
      </c>
      <c r="Z47" s="98" t="n">
        <v>3700</v>
      </c>
      <c r="AA47" s="0"/>
    </row>
    <row r="48" customFormat="false" ht="12.85" hidden="false" customHeight="true" outlineLevel="0" collapsed="false">
      <c r="A48" s="5"/>
      <c r="B48" s="6"/>
      <c r="C48" s="7"/>
      <c r="D48" s="7"/>
      <c r="E48" s="99"/>
      <c r="F48" s="7"/>
      <c r="G48" s="7"/>
      <c r="U48" s="4" t="s">
        <v>63</v>
      </c>
      <c r="V48" s="98" t="n">
        <v>40</v>
      </c>
      <c r="W48" s="97" t="n">
        <v>2.4</v>
      </c>
      <c r="X48" s="97" t="n">
        <f aca="false">V48-2*W48</f>
        <v>35.2</v>
      </c>
      <c r="Y48" s="98" t="n">
        <v>1100</v>
      </c>
      <c r="Z48" s="98" t="n">
        <v>3700</v>
      </c>
      <c r="AA48" s="0"/>
    </row>
    <row r="49" customFormat="false" ht="12.85" hidden="false" customHeight="true" outlineLevel="0" collapsed="false">
      <c r="A49" s="5"/>
      <c r="B49" s="6"/>
      <c r="C49" s="7"/>
      <c r="D49" s="7"/>
      <c r="E49" s="99"/>
      <c r="F49" s="7"/>
      <c r="G49" s="7"/>
      <c r="U49" s="4" t="s">
        <v>91</v>
      </c>
      <c r="V49" s="98" t="n">
        <v>40</v>
      </c>
      <c r="W49" s="97" t="n">
        <v>2.5</v>
      </c>
      <c r="X49" s="97" t="n">
        <f aca="false">V49-2*W49</f>
        <v>35</v>
      </c>
      <c r="Y49" s="98" t="n">
        <v>1100</v>
      </c>
      <c r="Z49" s="98" t="n">
        <v>3700</v>
      </c>
      <c r="AA49" s="0"/>
    </row>
    <row r="50" customFormat="false" ht="12.85" hidden="false" customHeight="true" outlineLevel="0" collapsed="false">
      <c r="U50" s="26" t="s">
        <v>64</v>
      </c>
      <c r="V50" s="100" t="n">
        <v>40</v>
      </c>
      <c r="W50" s="101" t="n">
        <v>3.7</v>
      </c>
      <c r="X50" s="97" t="n">
        <f aca="false">V50-2*W50</f>
        <v>32.6</v>
      </c>
      <c r="Y50" s="98" t="n">
        <v>1100</v>
      </c>
      <c r="Z50" s="98" t="n">
        <v>3700</v>
      </c>
      <c r="AA50" s="0"/>
    </row>
    <row r="51" customFormat="false" ht="12.85" hidden="false" customHeight="true" outlineLevel="0" collapsed="false">
      <c r="U51" s="4" t="s">
        <v>92</v>
      </c>
      <c r="V51" s="100" t="n">
        <v>45</v>
      </c>
      <c r="W51" s="97" t="n">
        <v>2.4</v>
      </c>
      <c r="X51" s="97" t="n">
        <f aca="false">V51-2*W51</f>
        <v>40.2</v>
      </c>
      <c r="Y51" s="98" t="n">
        <v>1100</v>
      </c>
      <c r="Z51" s="98" t="n">
        <v>3700</v>
      </c>
      <c r="AA51" s="0"/>
    </row>
    <row r="52" customFormat="false" ht="12.85" hidden="false" customHeight="true" outlineLevel="0" collapsed="false">
      <c r="U52" s="4" t="s">
        <v>65</v>
      </c>
      <c r="V52" s="100" t="n">
        <v>45</v>
      </c>
      <c r="W52" s="97" t="n">
        <v>2.7</v>
      </c>
      <c r="X52" s="97" t="n">
        <f aca="false">V52-2*W52</f>
        <v>39.6</v>
      </c>
      <c r="Y52" s="98" t="n">
        <v>1100</v>
      </c>
      <c r="Z52" s="98" t="n">
        <v>3700</v>
      </c>
      <c r="AA52" s="0"/>
    </row>
    <row r="53" customFormat="false" ht="12.85" hidden="false" customHeight="true" outlineLevel="0" collapsed="false">
      <c r="U53" s="4" t="s">
        <v>93</v>
      </c>
      <c r="V53" s="100" t="n">
        <v>45</v>
      </c>
      <c r="W53" s="97" t="n">
        <v>3</v>
      </c>
      <c r="X53" s="97" t="n">
        <f aca="false">V53-2*W53</f>
        <v>39</v>
      </c>
      <c r="Y53" s="98" t="n">
        <v>1100</v>
      </c>
      <c r="Z53" s="98" t="n">
        <v>3700</v>
      </c>
      <c r="AA53" s="0"/>
    </row>
    <row r="54" customFormat="false" ht="12.85" hidden="false" customHeight="true" outlineLevel="0" collapsed="false">
      <c r="U54" s="4" t="s">
        <v>94</v>
      </c>
      <c r="V54" s="100" t="n">
        <v>50</v>
      </c>
      <c r="W54" s="97" t="n">
        <v>2.4</v>
      </c>
      <c r="X54" s="97" t="n">
        <f aca="false">V54-2*W54</f>
        <v>45.2</v>
      </c>
      <c r="Y54" s="98" t="n">
        <v>1100</v>
      </c>
      <c r="Z54" s="98" t="n">
        <v>3700</v>
      </c>
      <c r="AA54" s="0"/>
    </row>
    <row r="55" customFormat="false" ht="12.85" hidden="false" customHeight="true" outlineLevel="0" collapsed="false">
      <c r="U55" s="4" t="s">
        <v>95</v>
      </c>
      <c r="V55" s="98" t="n">
        <v>50</v>
      </c>
      <c r="W55" s="97" t="n">
        <v>3</v>
      </c>
      <c r="X55" s="97" t="n">
        <f aca="false">V55-2*W55</f>
        <v>44</v>
      </c>
      <c r="Y55" s="98" t="n">
        <v>1100</v>
      </c>
      <c r="Z55" s="98" t="n">
        <v>3700</v>
      </c>
      <c r="AA55" s="0"/>
    </row>
    <row r="56" customFormat="false" ht="12.85" hidden="false" customHeight="true" outlineLevel="0" collapsed="false">
      <c r="U56" s="26" t="s">
        <v>96</v>
      </c>
      <c r="V56" s="100" t="n">
        <v>50</v>
      </c>
      <c r="W56" s="101" t="n">
        <v>4.6</v>
      </c>
      <c r="X56" s="97" t="n">
        <f aca="false">V56-2*W56</f>
        <v>40.8</v>
      </c>
      <c r="Y56" s="98" t="n">
        <v>1100</v>
      </c>
      <c r="Z56" s="98" t="n">
        <v>3700</v>
      </c>
      <c r="AA56" s="0"/>
    </row>
    <row r="57" customFormat="false" ht="12.85" hidden="false" customHeight="true" outlineLevel="0" collapsed="false">
      <c r="U57" s="26" t="s">
        <v>97</v>
      </c>
      <c r="V57" s="100" t="n">
        <v>63</v>
      </c>
      <c r="W57" s="101" t="n">
        <v>3</v>
      </c>
      <c r="X57" s="97" t="n">
        <f aca="false">V57-2*W57</f>
        <v>57</v>
      </c>
      <c r="Y57" s="98" t="n">
        <v>1100</v>
      </c>
      <c r="Z57" s="98" t="n">
        <v>3700</v>
      </c>
      <c r="AA57" s="0"/>
    </row>
    <row r="58" customFormat="false" ht="12.85" hidden="false" customHeight="true" outlineLevel="0" collapsed="false">
      <c r="U58" s="4" t="s">
        <v>98</v>
      </c>
      <c r="V58" s="100" t="n">
        <v>63</v>
      </c>
      <c r="W58" s="97" t="n">
        <v>5.8</v>
      </c>
      <c r="X58" s="97" t="n">
        <f aca="false">V58-2*W58</f>
        <v>51.4</v>
      </c>
      <c r="Y58" s="98" t="n">
        <v>1100</v>
      </c>
      <c r="Z58" s="98" t="n">
        <v>3700</v>
      </c>
      <c r="AA58" s="0"/>
    </row>
    <row r="59" customFormat="false" ht="12.85" hidden="false" customHeight="true" outlineLevel="0" collapsed="false">
      <c r="U59" s="4" t="s">
        <v>99</v>
      </c>
      <c r="V59" s="4" t="n">
        <v>50</v>
      </c>
      <c r="W59" s="97" t="n">
        <v>2.5</v>
      </c>
      <c r="X59" s="97" t="n">
        <f aca="false">V59-2*W59</f>
        <v>45</v>
      </c>
      <c r="Y59" s="98" t="n">
        <v>1100</v>
      </c>
      <c r="Z59" s="98" t="n">
        <v>3700</v>
      </c>
      <c r="AA59" s="0"/>
    </row>
    <row r="60" customFormat="false" ht="12.85" hidden="false" customHeight="true" outlineLevel="0" collapsed="false">
      <c r="U60" s="4" t="s">
        <v>66</v>
      </c>
      <c r="V60" s="98" t="n">
        <f aca="false">D43</f>
        <v>40</v>
      </c>
      <c r="W60" s="97" t="n">
        <f aca="false">E43</f>
        <v>3.7</v>
      </c>
      <c r="X60" s="97" t="n">
        <f aca="false">V60-2*W60</f>
        <v>32.6</v>
      </c>
      <c r="Y60" s="98" t="n">
        <v>1100</v>
      </c>
      <c r="Z60" s="98" t="n">
        <v>3700</v>
      </c>
      <c r="AA60" s="0"/>
    </row>
  </sheetData>
  <sheetProtection sheet="true" objects="true" scenarios="true" selectLockedCells="true"/>
  <mergeCells count="16">
    <mergeCell ref="B4:G4"/>
    <mergeCell ref="B5:G5"/>
    <mergeCell ref="F6:G6"/>
    <mergeCell ref="B7:G7"/>
    <mergeCell ref="B9:D9"/>
    <mergeCell ref="F11:G14"/>
    <mergeCell ref="B12:C12"/>
    <mergeCell ref="B13:C13"/>
    <mergeCell ref="B22:G22"/>
    <mergeCell ref="B23:D23"/>
    <mergeCell ref="D34:G34"/>
    <mergeCell ref="D35:G35"/>
    <mergeCell ref="D36:G36"/>
    <mergeCell ref="D37:G37"/>
    <mergeCell ref="D38:G38"/>
    <mergeCell ref="B42:C43"/>
  </mergeCells>
  <dataValidations count="3">
    <dataValidation allowBlank="false" operator="equal" prompt="Montako putkea &#10;tässä osuudessa&#10;on rinnakkain!" promptTitle="Valitse" showDropDown="false" showErrorMessage="true" showInputMessage="true" sqref="D26:G26" type="list">
      <formula1>"1,2,3,4"</formula1>
      <formula2>0</formula2>
    </dataValidation>
    <dataValidation allowBlank="true" operator="equal" prompt="Valitse putkityyppi" promptTitle="Valitse putki" showDropDown="false" showErrorMessage="true" showInputMessage="true" sqref="D27" type="list">
      <formula1>"32x2.0,32x3.0,40x2.4,40x2.5,40x3.7,45x2.4,45x2.7,45x3.0,50x2.4,50x3.0,50x4.6,63x3.8,63x5.8,GeoPipeM32,Oma"</formula1>
      <formula2>0</formula2>
    </dataValidation>
    <dataValidation allowBlank="true" operator="equal" prompt="Valitse putkityyppi" promptTitle="Valitse putki" showDropDown="false" showErrorMessage="true" showInputMessage="true" sqref="E27:G27" type="list">
      <formula1>"32x2.0,32x3.0,40x2.4,40x2.5,40x3.7,45x2.4,45x2.7,45x3.0,50x2.4,50x3.0,50x4.6,63x3.8,63x5.8,Oma"</formula1>
      <formula2>0</formula2>
    </dataValidation>
  </dataValidations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9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736</TotalTime>
  <Application>LibreOffice/5.4.2.2$Linux_X86_64 LibreOffice_project/40m0$Build-2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2017-01-14T18:32:19Z</dcterms:created>
  <dc:creator>Paavo Ingalsuo</dc:creator>
  <dc:description/>
  <dc:language>fi-FI</dc:language>
  <cp:lastModifiedBy>Paavo Ingalsuo</cp:lastModifiedBy>
  <dcterms:modified xsi:type="dcterms:W3CDTF">2017-12-30T19:44:07Z</dcterms:modified>
  <cp:revision>103</cp:revision>
  <dc:subject/>
  <dc:title/>
</cp:coreProperties>
</file>