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20100" windowHeight="9270" activeTab="1"/>
  </bookViews>
  <sheets>
    <sheet name="Taul1" sheetId="1" r:id="rId1"/>
    <sheet name="Taul2" sheetId="2" r:id="rId2"/>
    <sheet name="Taul3" sheetId="3" r:id="rId3"/>
  </sheets>
  <calcPr calcId="145621"/>
</workbook>
</file>

<file path=xl/calcChain.xml><?xml version="1.0" encoding="utf-8"?>
<calcChain xmlns="http://schemas.openxmlformats.org/spreadsheetml/2006/main">
  <c r="V3" i="2" l="1"/>
  <c r="V4" i="2"/>
  <c r="V5" i="2"/>
  <c r="V6" i="2"/>
  <c r="V7" i="2"/>
  <c r="V8" i="2"/>
  <c r="V10" i="2"/>
  <c r="V11" i="2"/>
  <c r="V12" i="2"/>
  <c r="V13" i="2"/>
  <c r="V14" i="2"/>
  <c r="V15" i="2"/>
  <c r="V16" i="2"/>
  <c r="V17" i="2"/>
  <c r="V18" i="2"/>
  <c r="V19" i="2"/>
  <c r="V2" i="2"/>
  <c r="T20" i="2"/>
  <c r="Q20" i="2"/>
  <c r="U3" i="2"/>
  <c r="U4" i="2"/>
  <c r="U5" i="2"/>
  <c r="U6" i="2"/>
  <c r="U7" i="2"/>
  <c r="U8" i="2"/>
  <c r="U10" i="2"/>
  <c r="U11" i="2"/>
  <c r="U12" i="2"/>
  <c r="U13" i="2"/>
  <c r="U14" i="2"/>
  <c r="U15" i="2"/>
  <c r="U16" i="2"/>
  <c r="U17" i="2"/>
  <c r="U18" i="2"/>
  <c r="U19" i="2"/>
  <c r="U2" i="2"/>
  <c r="R11" i="2"/>
  <c r="S11" i="2" s="1"/>
  <c r="T11" i="2" s="1"/>
  <c r="R12" i="2"/>
  <c r="S12" i="2" s="1"/>
  <c r="T12" i="2" s="1"/>
  <c r="R13" i="2"/>
  <c r="S13" i="2"/>
  <c r="T13" i="2" s="1"/>
  <c r="R14" i="2"/>
  <c r="S14" i="2"/>
  <c r="T14" i="2"/>
  <c r="R15" i="2"/>
  <c r="S15" i="2" s="1"/>
  <c r="T15" i="2" s="1"/>
  <c r="R16" i="2"/>
  <c r="S16" i="2" s="1"/>
  <c r="T16" i="2" s="1"/>
  <c r="R17" i="2"/>
  <c r="S17" i="2"/>
  <c r="T17" i="2" s="1"/>
  <c r="R18" i="2"/>
  <c r="S18" i="2"/>
  <c r="T18" i="2"/>
  <c r="R19" i="2"/>
  <c r="S19" i="2" s="1"/>
  <c r="T19" i="2" s="1"/>
  <c r="R10" i="2"/>
  <c r="R3" i="2"/>
  <c r="S3" i="2"/>
  <c r="T3" i="2" s="1"/>
  <c r="R4" i="2"/>
  <c r="S4" i="2"/>
  <c r="T4" i="2"/>
  <c r="R5" i="2"/>
  <c r="S5" i="2"/>
  <c r="T5" i="2"/>
  <c r="R6" i="2"/>
  <c r="S6" i="2" s="1"/>
  <c r="T6" i="2" s="1"/>
  <c r="R7" i="2"/>
  <c r="S7" i="2"/>
  <c r="T7" i="2" s="1"/>
  <c r="R8" i="2"/>
  <c r="S8" i="2"/>
  <c r="T8" i="2"/>
  <c r="S10" i="2"/>
  <c r="T10" i="2" s="1"/>
  <c r="R2" i="2"/>
  <c r="S2" i="2" s="1"/>
  <c r="T2" i="2" s="1"/>
  <c r="Q14" i="2"/>
  <c r="Q13" i="2"/>
  <c r="Q12" i="2"/>
  <c r="Q11" i="2"/>
  <c r="Q7" i="2"/>
  <c r="B28" i="1" l="1"/>
  <c r="B23" i="1"/>
  <c r="B24" i="1" s="1"/>
  <c r="B11" i="1"/>
  <c r="G19" i="2"/>
  <c r="I19" i="2" s="1"/>
  <c r="M19" i="2"/>
  <c r="O19" i="2" s="1"/>
  <c r="G18" i="2"/>
  <c r="I18" i="2" s="1"/>
  <c r="M18" i="2"/>
  <c r="J18" i="2"/>
  <c r="F17" i="2"/>
  <c r="O17" i="2"/>
  <c r="L17" i="2"/>
  <c r="I17" i="2"/>
  <c r="P17" i="2"/>
  <c r="Q17" i="2" s="1"/>
  <c r="G16" i="2"/>
  <c r="I16" i="2" s="1"/>
  <c r="J16" i="2"/>
  <c r="L16" i="2" s="1"/>
  <c r="J15" i="2"/>
  <c r="G15" i="2"/>
  <c r="I15" i="2" s="1"/>
  <c r="F18" i="2"/>
  <c r="L18" i="2"/>
  <c r="O18" i="2"/>
  <c r="F19" i="2"/>
  <c r="L19" i="2"/>
  <c r="M10" i="2"/>
  <c r="O10" i="2" s="1"/>
  <c r="G10" i="2"/>
  <c r="I10" i="2"/>
  <c r="F15" i="2"/>
  <c r="F16" i="2"/>
  <c r="F10" i="2"/>
  <c r="O8" i="2"/>
  <c r="J8" i="2"/>
  <c r="L8" i="2" s="1"/>
  <c r="G8" i="2"/>
  <c r="I8" i="2" s="1"/>
  <c r="F8" i="2"/>
  <c r="J5" i="2"/>
  <c r="G5" i="2"/>
  <c r="O15" i="2"/>
  <c r="O16" i="2"/>
  <c r="O3" i="2"/>
  <c r="O4" i="2"/>
  <c r="O5" i="2"/>
  <c r="O6" i="2"/>
  <c r="O2" i="2"/>
  <c r="L3" i="2"/>
  <c r="P3" i="2" s="1"/>
  <c r="Q3" i="2" s="1"/>
  <c r="L4" i="2"/>
  <c r="L5" i="2"/>
  <c r="L6" i="2"/>
  <c r="L10" i="2"/>
  <c r="L15" i="2"/>
  <c r="I5" i="2"/>
  <c r="P5" i="2" s="1"/>
  <c r="Q5" i="2" s="1"/>
  <c r="I6" i="2"/>
  <c r="P6" i="2" s="1"/>
  <c r="Q6" i="2" s="1"/>
  <c r="F5" i="2"/>
  <c r="F6" i="2"/>
  <c r="C5" i="2"/>
  <c r="J4" i="2"/>
  <c r="I4" i="2"/>
  <c r="G4" i="2"/>
  <c r="F4" i="2"/>
  <c r="I3" i="2"/>
  <c r="G3" i="2"/>
  <c r="F3" i="2"/>
  <c r="P2" i="2"/>
  <c r="Q2" i="2" s="1"/>
  <c r="L2" i="2"/>
  <c r="J2" i="2"/>
  <c r="I2" i="2"/>
  <c r="G2" i="2"/>
  <c r="F2" i="2"/>
  <c r="E7" i="1" l="1"/>
  <c r="P19" i="2"/>
  <c r="Q19" i="2" s="1"/>
  <c r="P18" i="2"/>
  <c r="Q18" i="2" s="1"/>
  <c r="P16" i="2"/>
  <c r="Q16" i="2" s="1"/>
  <c r="P10" i="2"/>
  <c r="Q10" i="2" s="1"/>
  <c r="P15" i="2"/>
  <c r="Q15" i="2" s="1"/>
  <c r="P8" i="2"/>
  <c r="Q8" i="2" s="1"/>
  <c r="P4" i="2"/>
  <c r="Q4" i="2" s="1"/>
  <c r="C24" i="1"/>
  <c r="B29" i="1"/>
  <c r="B18" i="1"/>
  <c r="B19" i="1" s="1"/>
  <c r="B17" i="1"/>
  <c r="B12" i="1"/>
  <c r="B13" i="1" s="1"/>
  <c r="B31" i="1" l="1"/>
  <c r="B33" i="1" s="1"/>
</calcChain>
</file>

<file path=xl/sharedStrings.xml><?xml version="1.0" encoding="utf-8"?>
<sst xmlns="http://schemas.openxmlformats.org/spreadsheetml/2006/main" count="61" uniqueCount="56">
  <si>
    <t>m2</t>
  </si>
  <si>
    <t>U (W/m2K)</t>
  </si>
  <si>
    <t>Lämpöhäviö (W/K)</t>
  </si>
  <si>
    <t>Johtumisteho (W)</t>
  </si>
  <si>
    <t>Yhteensä</t>
  </si>
  <si>
    <t>Johtumisteho</t>
  </si>
  <si>
    <t>qvvuotoilma</t>
  </si>
  <si>
    <t>Hvuotoilma</t>
  </si>
  <si>
    <t>Vuotoilma (W)</t>
  </si>
  <si>
    <t>Ilmanvaihdon lämmityksen tarvitsema teho</t>
  </si>
  <si>
    <t>Vuotoilman teho</t>
  </si>
  <si>
    <t>np, mit</t>
  </si>
  <si>
    <t>IV:n ominaislämpöhäviö</t>
  </si>
  <si>
    <t>IV:n ominaisteho</t>
  </si>
  <si>
    <t>Tuloilmapatterin teho</t>
  </si>
  <si>
    <t>nt, mit</t>
  </si>
  <si>
    <t>Käyttöveden teho</t>
  </si>
  <si>
    <t>Teho lkv</t>
  </si>
  <si>
    <t>Huonelämmitys</t>
  </si>
  <si>
    <t>Rakennuksen lämmitysteho</t>
  </si>
  <si>
    <t>MH1</t>
  </si>
  <si>
    <t>u pohja</t>
  </si>
  <si>
    <t>u katto</t>
  </si>
  <si>
    <t>seinä m2</t>
  </si>
  <si>
    <t xml:space="preserve"> u seinä</t>
  </si>
  <si>
    <t>ikkuna m2</t>
  </si>
  <si>
    <t>u ikkuna</t>
  </si>
  <si>
    <t>ovi m2</t>
  </si>
  <si>
    <t>u ovi</t>
  </si>
  <si>
    <t>häviö 1</t>
  </si>
  <si>
    <t>häviö 2</t>
  </si>
  <si>
    <t>häviö 3</t>
  </si>
  <si>
    <t>häviö 4</t>
  </si>
  <si>
    <t>häviö 1+2+3+4</t>
  </si>
  <si>
    <t>VH</t>
  </si>
  <si>
    <t>MH2</t>
  </si>
  <si>
    <t>Oleskelu</t>
  </si>
  <si>
    <t>KPH</t>
  </si>
  <si>
    <t>MH3</t>
  </si>
  <si>
    <t>2.krs</t>
  </si>
  <si>
    <t>1.krs</t>
  </si>
  <si>
    <t>Tekn</t>
  </si>
  <si>
    <t>S</t>
  </si>
  <si>
    <t>PH</t>
  </si>
  <si>
    <t>WC</t>
  </si>
  <si>
    <t>KHH</t>
  </si>
  <si>
    <t>MH/KIRJ</t>
  </si>
  <si>
    <t>OH</t>
  </si>
  <si>
    <t>Aula 1</t>
  </si>
  <si>
    <t>Aula 2</t>
  </si>
  <si>
    <t>K+RUOK</t>
  </si>
  <si>
    <t>TK</t>
  </si>
  <si>
    <t>Vuotoilmateho</t>
  </si>
  <si>
    <t>Teho W/m2</t>
  </si>
  <si>
    <t>Kokonaisteho (W)</t>
  </si>
  <si>
    <t>Ala 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</si>
</sst>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3"/>
  <sheetViews>
    <sheetView topLeftCell="A13" workbookViewId="0">
      <selection activeCell="A5" sqref="A5:XFD6"/>
    </sheetView>
  </sheetViews>
  <sheetFormatPr defaultRowHeight="15" x14ac:dyDescent="0.25"/>
  <cols>
    <col min="1" max="1" width="40.42578125" bestFit="1" customWidth="1"/>
    <col min="3" max="3" width="10.28515625" customWidth="1"/>
    <col min="4" max="4" width="17.7109375" bestFit="1" customWidth="1"/>
    <col min="5" max="5" width="17" bestFit="1" customWidth="1"/>
  </cols>
  <sheetData>
    <row r="2" spans="1:5" ht="14.45" x14ac:dyDescent="0.3">
      <c r="A2" t="s">
        <v>5</v>
      </c>
    </row>
    <row r="3" spans="1:5" x14ac:dyDescent="0.25">
      <c r="B3" t="s">
        <v>0</v>
      </c>
      <c r="C3" t="s">
        <v>1</v>
      </c>
      <c r="D3" t="s">
        <v>2</v>
      </c>
      <c r="E3" t="s">
        <v>3</v>
      </c>
    </row>
    <row r="4" spans="1:5" ht="14.45" x14ac:dyDescent="0.3"/>
    <row r="5" spans="1:5" ht="14.45" x14ac:dyDescent="0.3"/>
    <row r="6" spans="1:5" ht="14.45" x14ac:dyDescent="0.3"/>
    <row r="7" spans="1:5" x14ac:dyDescent="0.25">
      <c r="D7" t="s">
        <v>4</v>
      </c>
      <c r="E7">
        <f>Taul2!Q20</f>
        <v>4636.2229600000001</v>
      </c>
    </row>
    <row r="9" spans="1:5" ht="14.45" x14ac:dyDescent="0.3">
      <c r="A9" t="s">
        <v>10</v>
      </c>
    </row>
    <row r="11" spans="1:5" ht="14.45" x14ac:dyDescent="0.3">
      <c r="A11" t="s">
        <v>6</v>
      </c>
      <c r="B11">
        <f>(0.16*635)/3600</f>
        <v>2.8222222222222225E-2</v>
      </c>
    </row>
    <row r="12" spans="1:5" ht="14.45" x14ac:dyDescent="0.3">
      <c r="A12" t="s">
        <v>7</v>
      </c>
      <c r="B12">
        <f>1.2*1000*B11</f>
        <v>33.866666666666667</v>
      </c>
    </row>
    <row r="13" spans="1:5" ht="14.45" x14ac:dyDescent="0.3">
      <c r="A13" t="s">
        <v>8</v>
      </c>
      <c r="B13">
        <f>B12*(21-(-26))</f>
        <v>1591.7333333333333</v>
      </c>
    </row>
    <row r="15" spans="1:5" x14ac:dyDescent="0.25">
      <c r="A15" t="s">
        <v>9</v>
      </c>
    </row>
    <row r="17" spans="1:3" ht="14.45" x14ac:dyDescent="0.3">
      <c r="A17" t="s">
        <v>11</v>
      </c>
      <c r="B17">
        <f>(21-5)/(21-(-26))</f>
        <v>0.34042553191489361</v>
      </c>
    </row>
    <row r="18" spans="1:3" x14ac:dyDescent="0.25">
      <c r="A18" t="s">
        <v>12</v>
      </c>
      <c r="B18">
        <f>1.2*1000*0.09*(1-B17)</f>
        <v>71.234042553191486</v>
      </c>
    </row>
    <row r="19" spans="1:3" ht="14.45" x14ac:dyDescent="0.3">
      <c r="A19" t="s">
        <v>13</v>
      </c>
      <c r="B19">
        <f>B18*(21-(-26))</f>
        <v>3348</v>
      </c>
    </row>
    <row r="21" spans="1:3" ht="14.45" x14ac:dyDescent="0.3">
      <c r="A21" t="s">
        <v>14</v>
      </c>
    </row>
    <row r="23" spans="1:3" ht="14.45" x14ac:dyDescent="0.3">
      <c r="A23" t="s">
        <v>15</v>
      </c>
      <c r="B23">
        <f>0.65/0.9</f>
        <v>0.72222222222222221</v>
      </c>
    </row>
    <row r="24" spans="1:3" ht="14.45" x14ac:dyDescent="0.3">
      <c r="A24" t="s">
        <v>14</v>
      </c>
      <c r="B24">
        <f>1.2*1000*0.08*(18-(-26)-B23*(21-(-26)))</f>
        <v>965.33333333333348</v>
      </c>
      <c r="C24">
        <f>B24/0.9</f>
        <v>1072.5925925925928</v>
      </c>
    </row>
    <row r="26" spans="1:3" x14ac:dyDescent="0.25">
      <c r="A26" t="s">
        <v>16</v>
      </c>
    </row>
    <row r="28" spans="1:3" x14ac:dyDescent="0.25">
      <c r="A28" t="s">
        <v>17</v>
      </c>
      <c r="B28">
        <f>0.002*175</f>
        <v>0.35000000000000003</v>
      </c>
    </row>
    <row r="29" spans="1:3" x14ac:dyDescent="0.25">
      <c r="A29" t="s">
        <v>16</v>
      </c>
      <c r="B29">
        <f>1000*4.2*0.0049*(58-10)+B28</f>
        <v>988.18999999999994</v>
      </c>
    </row>
    <row r="31" spans="1:3" x14ac:dyDescent="0.25">
      <c r="A31" t="s">
        <v>18</v>
      </c>
      <c r="B31">
        <f>E7+B13+B19-B24</f>
        <v>8610.6229599999988</v>
      </c>
    </row>
    <row r="33" spans="1:2" x14ac:dyDescent="0.25">
      <c r="A33" t="s">
        <v>19</v>
      </c>
      <c r="B33">
        <f>(B31/0.9)+(B24/0.9)+(B29/0.9)</f>
        <v>11737.940325925925</v>
      </c>
    </row>
  </sheetData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0"/>
  <sheetViews>
    <sheetView tabSelected="1" workbookViewId="0">
      <selection activeCell="Y12" sqref="Y12"/>
    </sheetView>
  </sheetViews>
  <sheetFormatPr defaultRowHeight="15" x14ac:dyDescent="0.25"/>
  <cols>
    <col min="3" max="3" width="9.140625" customWidth="1"/>
    <col min="4" max="9" width="9.140625" hidden="1" customWidth="1"/>
    <col min="10" max="10" width="10" hidden="1" customWidth="1"/>
    <col min="11" max="15" width="9.140625" hidden="1" customWidth="1"/>
    <col min="16" max="16" width="13.42578125" hidden="1" customWidth="1"/>
    <col min="17" max="17" width="13.28515625" hidden="1" customWidth="1"/>
    <col min="18" max="19" width="9.140625" hidden="1" customWidth="1"/>
    <col min="20" max="20" width="14.5703125" hidden="1" customWidth="1"/>
    <col min="21" max="21" width="16.85546875" style="1" customWidth="1"/>
    <col min="22" max="22" width="11.28515625" style="1" bestFit="1" customWidth="1"/>
  </cols>
  <sheetData>
    <row r="1" spans="1:22" x14ac:dyDescent="0.25">
      <c r="C1" t="s">
        <v>55</v>
      </c>
      <c r="D1" t="s">
        <v>21</v>
      </c>
      <c r="E1" t="s">
        <v>22</v>
      </c>
      <c r="F1" t="s">
        <v>29</v>
      </c>
      <c r="G1" t="s">
        <v>23</v>
      </c>
      <c r="H1" t="s">
        <v>24</v>
      </c>
      <c r="I1" t="s">
        <v>30</v>
      </c>
      <c r="J1" t="s">
        <v>25</v>
      </c>
      <c r="K1" t="s">
        <v>26</v>
      </c>
      <c r="L1" t="s">
        <v>31</v>
      </c>
      <c r="M1" t="s">
        <v>27</v>
      </c>
      <c r="N1" t="s">
        <v>28</v>
      </c>
      <c r="O1" t="s">
        <v>32</v>
      </c>
      <c r="P1" t="s">
        <v>33</v>
      </c>
      <c r="Q1" t="s">
        <v>5</v>
      </c>
      <c r="R1" t="s">
        <v>6</v>
      </c>
      <c r="S1" t="s">
        <v>7</v>
      </c>
      <c r="T1" t="s">
        <v>52</v>
      </c>
      <c r="U1" s="1" t="s">
        <v>54</v>
      </c>
      <c r="V1" s="1" t="s">
        <v>53</v>
      </c>
    </row>
    <row r="2" spans="1:22" x14ac:dyDescent="0.25">
      <c r="A2" t="s">
        <v>39</v>
      </c>
      <c r="B2" t="s">
        <v>20</v>
      </c>
      <c r="C2">
        <v>11</v>
      </c>
      <c r="E2">
        <v>0.09</v>
      </c>
      <c r="F2">
        <f>C2*E2</f>
        <v>0.99</v>
      </c>
      <c r="G2">
        <f>8.3-(1.5*1.4)+4.14*0.65</f>
        <v>8.8910000000000018</v>
      </c>
      <c r="H2">
        <v>0.16</v>
      </c>
      <c r="I2">
        <f>G2*H2</f>
        <v>1.4225600000000003</v>
      </c>
      <c r="J2">
        <f>1.5*1.4</f>
        <v>2.0999999999999996</v>
      </c>
      <c r="K2">
        <v>1</v>
      </c>
      <c r="L2">
        <f>K2*J2</f>
        <v>2.0999999999999996</v>
      </c>
      <c r="N2">
        <v>1</v>
      </c>
      <c r="O2">
        <f>M2*N2</f>
        <v>0</v>
      </c>
      <c r="P2">
        <f>F2+I2+L2+O2</f>
        <v>4.5125599999999997</v>
      </c>
      <c r="Q2">
        <f>P2*(21-(-26))</f>
        <v>212.09031999999999</v>
      </c>
      <c r="R2">
        <f>(0.16*(C2*2.1))/3600</f>
        <v>1.0266666666666666E-3</v>
      </c>
      <c r="S2">
        <f>1.2*1000*R2</f>
        <v>1.232</v>
      </c>
      <c r="T2">
        <f>S2*(21-(-26))</f>
        <v>57.903999999999996</v>
      </c>
      <c r="U2" s="1">
        <f>(Q2+T2)/0.9</f>
        <v>299.99368888888893</v>
      </c>
      <c r="V2" s="1">
        <f>U2/C2</f>
        <v>27.272153535353539</v>
      </c>
    </row>
    <row r="3" spans="1:22" x14ac:dyDescent="0.25">
      <c r="B3" t="s">
        <v>34</v>
      </c>
      <c r="C3">
        <v>6</v>
      </c>
      <c r="E3">
        <v>0.09</v>
      </c>
      <c r="F3">
        <f>E3*C3</f>
        <v>0.54</v>
      </c>
      <c r="G3">
        <f>3.6*0.65</f>
        <v>2.3400000000000003</v>
      </c>
      <c r="H3">
        <v>0.16</v>
      </c>
      <c r="I3">
        <f>G3*H3</f>
        <v>0.37440000000000007</v>
      </c>
      <c r="K3">
        <v>1</v>
      </c>
      <c r="L3">
        <f t="shared" ref="L3:L16" si="0">K3*J3</f>
        <v>0</v>
      </c>
      <c r="N3">
        <v>1</v>
      </c>
      <c r="O3">
        <f t="shared" ref="O3:O16" si="1">M3*N3</f>
        <v>0</v>
      </c>
      <c r="P3">
        <f>F3+I3+L3+O3</f>
        <v>0.9144000000000001</v>
      </c>
      <c r="Q3">
        <f>P3*(21-(-26))</f>
        <v>42.976800000000004</v>
      </c>
      <c r="R3">
        <f t="shared" ref="R3:R8" si="2">(0.16*(C3*2.1))/3600</f>
        <v>5.6000000000000017E-4</v>
      </c>
      <c r="S3">
        <f t="shared" ref="S3:S19" si="3">1.2*1000*R3</f>
        <v>0.67200000000000015</v>
      </c>
      <c r="T3">
        <f t="shared" ref="T3:T19" si="4">S3*(21-(-26))</f>
        <v>31.584000000000007</v>
      </c>
      <c r="U3" s="1">
        <f t="shared" ref="U3:U19" si="5">(Q3+T3)/0.9</f>
        <v>82.845333333333343</v>
      </c>
      <c r="V3" s="1">
        <f t="shared" ref="V3:V19" si="6">U3/C3</f>
        <v>13.807555555555558</v>
      </c>
    </row>
    <row r="4" spans="1:22" x14ac:dyDescent="0.25">
      <c r="B4" t="s">
        <v>35</v>
      </c>
      <c r="C4">
        <v>10.5</v>
      </c>
      <c r="E4">
        <v>0.09</v>
      </c>
      <c r="F4">
        <f>C4*E4</f>
        <v>0.94499999999999995</v>
      </c>
      <c r="G4">
        <f>8.3-(1.5*1.4)+4.14*0.65</f>
        <v>8.8910000000000018</v>
      </c>
      <c r="H4">
        <v>0.16</v>
      </c>
      <c r="I4">
        <f>G4*H4</f>
        <v>1.4225600000000003</v>
      </c>
      <c r="J4">
        <f>1.5*1.4</f>
        <v>2.0999999999999996</v>
      </c>
      <c r="K4">
        <v>1</v>
      </c>
      <c r="L4">
        <f t="shared" si="0"/>
        <v>2.0999999999999996</v>
      </c>
      <c r="N4">
        <v>1</v>
      </c>
      <c r="O4">
        <f t="shared" si="1"/>
        <v>0</v>
      </c>
      <c r="P4">
        <f>F4+I4+L4+O4</f>
        <v>4.4675599999999998</v>
      </c>
      <c r="Q4">
        <f>P4*(21-(-26))</f>
        <v>209.97531999999998</v>
      </c>
      <c r="R4">
        <f t="shared" si="2"/>
        <v>9.7999999999999997E-4</v>
      </c>
      <c r="S4">
        <f t="shared" si="3"/>
        <v>1.1759999999999999</v>
      </c>
      <c r="T4">
        <f t="shared" si="4"/>
        <v>55.271999999999998</v>
      </c>
      <c r="U4" s="1">
        <f t="shared" si="5"/>
        <v>294.71924444444443</v>
      </c>
      <c r="V4" s="1">
        <f t="shared" si="6"/>
        <v>28.068499470899468</v>
      </c>
    </row>
    <row r="5" spans="1:22" x14ac:dyDescent="0.25">
      <c r="B5" t="s">
        <v>36</v>
      </c>
      <c r="C5">
        <f>4*4.3+1*3.5</f>
        <v>20.7</v>
      </c>
      <c r="E5">
        <v>0.09</v>
      </c>
      <c r="F5">
        <f t="shared" ref="F5:F6" si="7">C5*E5</f>
        <v>1.8629999999999998</v>
      </c>
      <c r="G5">
        <f>8.4-1.5*1.4+0.65*5</f>
        <v>9.5500000000000007</v>
      </c>
      <c r="H5">
        <v>0.16</v>
      </c>
      <c r="I5">
        <f t="shared" ref="I5:I16" si="8">G5*H5</f>
        <v>1.5280000000000002</v>
      </c>
      <c r="J5">
        <f>1.5*1.4</f>
        <v>2.0999999999999996</v>
      </c>
      <c r="K5">
        <v>1</v>
      </c>
      <c r="L5">
        <f t="shared" si="0"/>
        <v>2.0999999999999996</v>
      </c>
      <c r="N5">
        <v>1</v>
      </c>
      <c r="O5">
        <f t="shared" si="1"/>
        <v>0</v>
      </c>
      <c r="P5">
        <f t="shared" ref="P5:P16" si="9">F5+I5+L5+O5</f>
        <v>5.4909999999999997</v>
      </c>
      <c r="Q5">
        <f t="shared" ref="Q5:Q19" si="10">P5*(21-(-26))</f>
        <v>258.077</v>
      </c>
      <c r="R5">
        <f t="shared" si="2"/>
        <v>1.9319999999999999E-3</v>
      </c>
      <c r="S5">
        <f t="shared" si="3"/>
        <v>2.3184</v>
      </c>
      <c r="T5">
        <f t="shared" si="4"/>
        <v>108.9648</v>
      </c>
      <c r="U5" s="1">
        <f t="shared" si="5"/>
        <v>407.82422222222215</v>
      </c>
      <c r="V5" s="1">
        <f t="shared" si="6"/>
        <v>19.701653247450345</v>
      </c>
    </row>
    <row r="6" spans="1:22" x14ac:dyDescent="0.25">
      <c r="B6" t="s">
        <v>48</v>
      </c>
      <c r="C6">
        <v>10</v>
      </c>
      <c r="E6">
        <v>0.09</v>
      </c>
      <c r="F6">
        <f t="shared" si="7"/>
        <v>0.89999999999999991</v>
      </c>
      <c r="H6">
        <v>0.16</v>
      </c>
      <c r="I6">
        <f t="shared" si="8"/>
        <v>0</v>
      </c>
      <c r="K6">
        <v>1</v>
      </c>
      <c r="L6">
        <f t="shared" si="0"/>
        <v>0</v>
      </c>
      <c r="N6">
        <v>1</v>
      </c>
      <c r="O6">
        <f t="shared" si="1"/>
        <v>0</v>
      </c>
      <c r="P6">
        <f t="shared" si="9"/>
        <v>0.89999999999999991</v>
      </c>
      <c r="Q6">
        <f t="shared" si="10"/>
        <v>42.3</v>
      </c>
      <c r="R6">
        <f t="shared" si="2"/>
        <v>9.3333333333333332E-4</v>
      </c>
      <c r="S6">
        <f t="shared" si="3"/>
        <v>1.1199999999999999</v>
      </c>
      <c r="T6">
        <f t="shared" si="4"/>
        <v>52.639999999999993</v>
      </c>
      <c r="U6" s="1">
        <f t="shared" si="5"/>
        <v>105.48888888888888</v>
      </c>
      <c r="V6" s="1">
        <f t="shared" si="6"/>
        <v>10.548888888888888</v>
      </c>
    </row>
    <row r="7" spans="1:22" x14ac:dyDescent="0.25">
      <c r="B7" t="s">
        <v>37</v>
      </c>
      <c r="C7">
        <v>3</v>
      </c>
      <c r="Q7">
        <f>C7*75</f>
        <v>225</v>
      </c>
      <c r="R7">
        <f t="shared" si="2"/>
        <v>2.8000000000000008E-4</v>
      </c>
      <c r="S7">
        <f t="shared" si="3"/>
        <v>0.33600000000000008</v>
      </c>
      <c r="T7">
        <f t="shared" si="4"/>
        <v>15.792000000000003</v>
      </c>
      <c r="U7" s="1">
        <f t="shared" si="5"/>
        <v>267.54666666666668</v>
      </c>
      <c r="V7" s="1">
        <f t="shared" si="6"/>
        <v>89.182222222222222</v>
      </c>
    </row>
    <row r="8" spans="1:22" x14ac:dyDescent="0.25">
      <c r="B8" t="s">
        <v>38</v>
      </c>
      <c r="C8">
        <v>10.5</v>
      </c>
      <c r="E8">
        <v>0.09</v>
      </c>
      <c r="F8">
        <f>C8*E8</f>
        <v>0.94499999999999995</v>
      </c>
      <c r="G8">
        <f>8.3-(1.5*1.4)+4.14*0.65</f>
        <v>8.8910000000000018</v>
      </c>
      <c r="H8">
        <v>0.16</v>
      </c>
      <c r="I8">
        <f>G8*H8</f>
        <v>1.4225600000000003</v>
      </c>
      <c r="J8">
        <f>1.5*1.4</f>
        <v>2.0999999999999996</v>
      </c>
      <c r="K8">
        <v>1</v>
      </c>
      <c r="L8">
        <f t="shared" ref="L8" si="11">K8*J8</f>
        <v>2.0999999999999996</v>
      </c>
      <c r="N8">
        <v>1</v>
      </c>
      <c r="O8">
        <f t="shared" ref="O8" si="12">M8*N8</f>
        <v>0</v>
      </c>
      <c r="P8">
        <f>F8+I8+L8+O8</f>
        <v>4.4675599999999998</v>
      </c>
      <c r="Q8">
        <f>P8*(21-(-26))</f>
        <v>209.97531999999998</v>
      </c>
      <c r="R8">
        <f t="shared" si="2"/>
        <v>9.7999999999999997E-4</v>
      </c>
      <c r="S8">
        <f t="shared" si="3"/>
        <v>1.1759999999999999</v>
      </c>
      <c r="T8">
        <f t="shared" si="4"/>
        <v>55.271999999999998</v>
      </c>
      <c r="U8" s="1">
        <f t="shared" si="5"/>
        <v>294.71924444444443</v>
      </c>
      <c r="V8" s="1">
        <f t="shared" si="6"/>
        <v>28.068499470899468</v>
      </c>
    </row>
    <row r="10" spans="1:22" x14ac:dyDescent="0.25">
      <c r="A10" t="s">
        <v>40</v>
      </c>
      <c r="B10" t="s">
        <v>41</v>
      </c>
      <c r="C10">
        <v>2.5</v>
      </c>
      <c r="D10">
        <v>0.09</v>
      </c>
      <c r="F10">
        <f>C10*D10</f>
        <v>0.22499999999999998</v>
      </c>
      <c r="G10">
        <f>1.8*2.6+1.5*2.6-2.1*0.8</f>
        <v>6.9000000000000021</v>
      </c>
      <c r="H10">
        <v>0.16</v>
      </c>
      <c r="I10">
        <f t="shared" si="8"/>
        <v>1.1040000000000003</v>
      </c>
      <c r="K10">
        <v>1</v>
      </c>
      <c r="L10">
        <f t="shared" si="0"/>
        <v>0</v>
      </c>
      <c r="M10">
        <f>2.1*0.8</f>
        <v>1.6800000000000002</v>
      </c>
      <c r="N10">
        <v>1</v>
      </c>
      <c r="O10">
        <f t="shared" si="1"/>
        <v>1.6800000000000002</v>
      </c>
      <c r="P10">
        <f t="shared" si="9"/>
        <v>3.0090000000000003</v>
      </c>
      <c r="Q10">
        <f t="shared" si="10"/>
        <v>141.423</v>
      </c>
      <c r="R10">
        <f>(0.16*(C10*2.6))/3600</f>
        <v>2.8888888888888888E-4</v>
      </c>
      <c r="S10">
        <f t="shared" si="3"/>
        <v>0.34666666666666668</v>
      </c>
      <c r="T10">
        <f t="shared" si="4"/>
        <v>16.293333333333333</v>
      </c>
      <c r="U10" s="1">
        <f t="shared" si="5"/>
        <v>175.24037037037036</v>
      </c>
      <c r="V10" s="1">
        <f t="shared" si="6"/>
        <v>70.096148148148146</v>
      </c>
    </row>
    <row r="11" spans="1:22" x14ac:dyDescent="0.25">
      <c r="B11" t="s">
        <v>42</v>
      </c>
      <c r="C11">
        <v>3.5</v>
      </c>
      <c r="Q11">
        <f>C11*75</f>
        <v>262.5</v>
      </c>
      <c r="R11">
        <f t="shared" ref="R11:R19" si="13">(0.16*(C11*2.6))/3600</f>
        <v>4.0444444444444442E-4</v>
      </c>
      <c r="S11">
        <f t="shared" si="3"/>
        <v>0.48533333333333328</v>
      </c>
      <c r="T11">
        <f t="shared" si="4"/>
        <v>22.810666666666663</v>
      </c>
      <c r="U11" s="1">
        <f t="shared" si="5"/>
        <v>317.01185185185182</v>
      </c>
      <c r="V11" s="1">
        <f t="shared" si="6"/>
        <v>90.5748148148148</v>
      </c>
    </row>
    <row r="12" spans="1:22" x14ac:dyDescent="0.25">
      <c r="B12" t="s">
        <v>43</v>
      </c>
      <c r="C12">
        <v>5</v>
      </c>
      <c r="Q12">
        <f>C12*75</f>
        <v>375</v>
      </c>
      <c r="R12">
        <f t="shared" si="13"/>
        <v>5.7777777777777775E-4</v>
      </c>
      <c r="S12">
        <f t="shared" si="3"/>
        <v>0.69333333333333336</v>
      </c>
      <c r="T12">
        <f t="shared" si="4"/>
        <v>32.586666666666666</v>
      </c>
      <c r="U12" s="1">
        <f t="shared" si="5"/>
        <v>452.87407407407403</v>
      </c>
      <c r="V12" s="1">
        <f t="shared" si="6"/>
        <v>90.5748148148148</v>
      </c>
    </row>
    <row r="13" spans="1:22" x14ac:dyDescent="0.25">
      <c r="B13" t="s">
        <v>44</v>
      </c>
      <c r="C13">
        <v>2.5</v>
      </c>
      <c r="Q13">
        <f>C13*75</f>
        <v>187.5</v>
      </c>
      <c r="R13">
        <f t="shared" si="13"/>
        <v>2.8888888888888888E-4</v>
      </c>
      <c r="S13">
        <f t="shared" si="3"/>
        <v>0.34666666666666668</v>
      </c>
      <c r="T13">
        <f t="shared" si="4"/>
        <v>16.293333333333333</v>
      </c>
      <c r="U13" s="1">
        <f t="shared" si="5"/>
        <v>226.43703703703702</v>
      </c>
      <c r="V13" s="1">
        <f t="shared" si="6"/>
        <v>90.5748148148148</v>
      </c>
    </row>
    <row r="14" spans="1:22" x14ac:dyDescent="0.25">
      <c r="B14" t="s">
        <v>45</v>
      </c>
      <c r="C14">
        <v>12</v>
      </c>
      <c r="Q14">
        <f>C14*75</f>
        <v>900</v>
      </c>
      <c r="R14">
        <f t="shared" si="13"/>
        <v>1.3866666666666669E-3</v>
      </c>
      <c r="S14">
        <f t="shared" si="3"/>
        <v>1.6640000000000004</v>
      </c>
      <c r="T14">
        <f t="shared" si="4"/>
        <v>78.208000000000013</v>
      </c>
      <c r="U14" s="1">
        <f t="shared" si="5"/>
        <v>1086.8977777777777</v>
      </c>
      <c r="V14" s="1">
        <f t="shared" si="6"/>
        <v>90.574814814814815</v>
      </c>
    </row>
    <row r="15" spans="1:22" x14ac:dyDescent="0.25">
      <c r="B15" t="s">
        <v>46</v>
      </c>
      <c r="C15">
        <v>11</v>
      </c>
      <c r="D15">
        <v>0.09</v>
      </c>
      <c r="F15">
        <f t="shared" ref="F15:F16" si="14">C15*D15</f>
        <v>0.99</v>
      </c>
      <c r="G15">
        <f>2.8*2.6-1.5*1.5</f>
        <v>5.0299999999999994</v>
      </c>
      <c r="H15">
        <v>0.16</v>
      </c>
      <c r="I15">
        <f t="shared" si="8"/>
        <v>0.80479999999999996</v>
      </c>
      <c r="J15">
        <f>1.5*1.5</f>
        <v>2.25</v>
      </c>
      <c r="K15">
        <v>1</v>
      </c>
      <c r="L15">
        <f t="shared" si="0"/>
        <v>2.25</v>
      </c>
      <c r="N15">
        <v>1</v>
      </c>
      <c r="O15">
        <f t="shared" si="1"/>
        <v>0</v>
      </c>
      <c r="P15">
        <f t="shared" si="9"/>
        <v>4.0448000000000004</v>
      </c>
      <c r="Q15">
        <f t="shared" si="10"/>
        <v>190.10560000000001</v>
      </c>
      <c r="R15">
        <f t="shared" si="13"/>
        <v>1.2711111111111113E-3</v>
      </c>
      <c r="S15">
        <f t="shared" si="3"/>
        <v>1.5253333333333337</v>
      </c>
      <c r="T15">
        <f t="shared" si="4"/>
        <v>71.690666666666687</v>
      </c>
      <c r="U15" s="1">
        <f t="shared" si="5"/>
        <v>290.88474074074082</v>
      </c>
      <c r="V15" s="1">
        <f t="shared" si="6"/>
        <v>26.444067340067349</v>
      </c>
    </row>
    <row r="16" spans="1:22" x14ac:dyDescent="0.25">
      <c r="B16" t="s">
        <v>47</v>
      </c>
      <c r="C16">
        <v>16</v>
      </c>
      <c r="D16">
        <v>0.09</v>
      </c>
      <c r="F16">
        <f t="shared" si="14"/>
        <v>1.44</v>
      </c>
      <c r="G16">
        <f>4.1*2.6+3.9*2.6-7.26</f>
        <v>13.540000000000001</v>
      </c>
      <c r="H16">
        <v>0.16</v>
      </c>
      <c r="I16">
        <f t="shared" si="8"/>
        <v>2.1664000000000003</v>
      </c>
      <c r="J16">
        <f>0.5*2.2+1.4*2.2+1.4*2.2</f>
        <v>7.26</v>
      </c>
      <c r="K16">
        <v>1</v>
      </c>
      <c r="L16">
        <f t="shared" si="0"/>
        <v>7.26</v>
      </c>
      <c r="N16">
        <v>1</v>
      </c>
      <c r="O16">
        <f t="shared" si="1"/>
        <v>0</v>
      </c>
      <c r="P16">
        <f t="shared" si="9"/>
        <v>10.866400000000001</v>
      </c>
      <c r="Q16">
        <f t="shared" si="10"/>
        <v>510.7208</v>
      </c>
      <c r="R16">
        <f t="shared" si="13"/>
        <v>1.8488888888888891E-3</v>
      </c>
      <c r="S16">
        <f t="shared" si="3"/>
        <v>2.218666666666667</v>
      </c>
      <c r="T16">
        <f t="shared" si="4"/>
        <v>104.27733333333335</v>
      </c>
      <c r="U16" s="1">
        <f t="shared" si="5"/>
        <v>683.33125925925935</v>
      </c>
      <c r="V16" s="1">
        <f t="shared" si="6"/>
        <v>42.70820370370371</v>
      </c>
    </row>
    <row r="17" spans="2:22" x14ac:dyDescent="0.25">
      <c r="B17" t="s">
        <v>49</v>
      </c>
      <c r="C17">
        <v>10</v>
      </c>
      <c r="D17">
        <v>0.09</v>
      </c>
      <c r="F17">
        <f>C17*D17</f>
        <v>0.89999999999999991</v>
      </c>
      <c r="H17">
        <v>0.16</v>
      </c>
      <c r="I17">
        <f t="shared" ref="I17" si="15">G17*H17</f>
        <v>0</v>
      </c>
      <c r="K17">
        <v>1</v>
      </c>
      <c r="L17">
        <f t="shared" ref="L17" si="16">K17*J17</f>
        <v>0</v>
      </c>
      <c r="N17">
        <v>1</v>
      </c>
      <c r="O17">
        <f t="shared" ref="O17" si="17">M17*N17</f>
        <v>0</v>
      </c>
      <c r="P17">
        <f t="shared" ref="P17" si="18">F17+I17+L17+O17</f>
        <v>0.89999999999999991</v>
      </c>
      <c r="Q17">
        <f t="shared" si="10"/>
        <v>42.3</v>
      </c>
      <c r="R17">
        <f t="shared" si="13"/>
        <v>1.1555555555555555E-3</v>
      </c>
      <c r="S17">
        <f t="shared" si="3"/>
        <v>1.3866666666666667</v>
      </c>
      <c r="T17">
        <f t="shared" si="4"/>
        <v>65.173333333333332</v>
      </c>
      <c r="U17" s="1">
        <f t="shared" si="5"/>
        <v>119.4148148148148</v>
      </c>
      <c r="V17" s="1">
        <f t="shared" si="6"/>
        <v>11.94148148148148</v>
      </c>
    </row>
    <row r="18" spans="2:22" x14ac:dyDescent="0.25">
      <c r="B18" t="s">
        <v>50</v>
      </c>
      <c r="C18">
        <v>31</v>
      </c>
      <c r="D18">
        <v>0.09</v>
      </c>
      <c r="F18">
        <f t="shared" ref="F18:F19" si="19">C18*D18</f>
        <v>2.79</v>
      </c>
      <c r="G18">
        <f>7.6*2.6+4*2.6-6.66-1.84</f>
        <v>21.659999999999997</v>
      </c>
      <c r="H18">
        <v>0.16</v>
      </c>
      <c r="I18">
        <f t="shared" ref="I18:I19" si="20">G18*H18</f>
        <v>3.4655999999999993</v>
      </c>
      <c r="J18">
        <f>0.5*1+1.4*2.2+1.4*2.2</f>
        <v>6.66</v>
      </c>
      <c r="K18">
        <v>1</v>
      </c>
      <c r="L18">
        <f t="shared" ref="L18:L19" si="21">K18*J18</f>
        <v>6.66</v>
      </c>
      <c r="M18">
        <f>2.3*0.8</f>
        <v>1.8399999999999999</v>
      </c>
      <c r="N18">
        <v>1</v>
      </c>
      <c r="O18">
        <f t="shared" ref="O18:O19" si="22">M18*N18</f>
        <v>1.8399999999999999</v>
      </c>
      <c r="P18">
        <f t="shared" ref="P18:P19" si="23">F18+I18+L18+O18</f>
        <v>14.755599999999999</v>
      </c>
      <c r="Q18">
        <f t="shared" si="10"/>
        <v>693.51319999999998</v>
      </c>
      <c r="R18">
        <f t="shared" si="13"/>
        <v>3.5822222222222223E-3</v>
      </c>
      <c r="S18">
        <f t="shared" si="3"/>
        <v>4.2986666666666666</v>
      </c>
      <c r="T18">
        <f t="shared" si="4"/>
        <v>202.03733333333332</v>
      </c>
      <c r="U18" s="1">
        <f t="shared" si="5"/>
        <v>995.05614814814805</v>
      </c>
      <c r="V18" s="1">
        <f t="shared" si="6"/>
        <v>32.098585424133809</v>
      </c>
    </row>
    <row r="19" spans="2:22" x14ac:dyDescent="0.25">
      <c r="B19" t="s">
        <v>51</v>
      </c>
      <c r="C19">
        <v>6</v>
      </c>
      <c r="D19">
        <v>0.09</v>
      </c>
      <c r="F19">
        <f t="shared" si="19"/>
        <v>0.54</v>
      </c>
      <c r="G19">
        <f>2.1*2.6-1.68</f>
        <v>3.7800000000000011</v>
      </c>
      <c r="H19">
        <v>0.16</v>
      </c>
      <c r="I19">
        <f t="shared" si="20"/>
        <v>0.60480000000000023</v>
      </c>
      <c r="K19">
        <v>1</v>
      </c>
      <c r="L19">
        <f t="shared" si="21"/>
        <v>0</v>
      </c>
      <c r="M19">
        <f>0.8*2.1</f>
        <v>1.6800000000000002</v>
      </c>
      <c r="N19">
        <v>1</v>
      </c>
      <c r="O19">
        <f t="shared" si="22"/>
        <v>1.6800000000000002</v>
      </c>
      <c r="P19">
        <f t="shared" si="23"/>
        <v>2.8248000000000006</v>
      </c>
      <c r="Q19">
        <f t="shared" si="10"/>
        <v>132.76560000000003</v>
      </c>
      <c r="R19">
        <f t="shared" si="13"/>
        <v>6.9333333333333345E-4</v>
      </c>
      <c r="S19">
        <f t="shared" si="3"/>
        <v>0.83200000000000018</v>
      </c>
      <c r="T19">
        <f t="shared" si="4"/>
        <v>39.104000000000006</v>
      </c>
      <c r="U19" s="1">
        <f t="shared" si="5"/>
        <v>190.96622222222229</v>
      </c>
      <c r="V19" s="1">
        <f t="shared" si="6"/>
        <v>31.827703703703715</v>
      </c>
    </row>
    <row r="20" spans="2:22" x14ac:dyDescent="0.25">
      <c r="Q20">
        <f>SUM(Q2:Q19)</f>
        <v>4636.2229600000001</v>
      </c>
      <c r="T20">
        <f>SUM(T2:T19)</f>
        <v>1025.9034666666666</v>
      </c>
    </row>
  </sheetData>
  <pageMargins left="0.7" right="0.7" top="0.75" bottom="0.75" header="0.3" footer="0.3"/>
  <pageSetup paperSize="9" orientation="portrait" horizontalDpi="400" verticalDpi="4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Company>Are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Mahkonen Aaro</dc:creator>
  <cp:lastModifiedBy>Pulla</cp:lastModifiedBy>
  <cp:lastPrinted>2013-03-26T11:51:31Z</cp:lastPrinted>
  <dcterms:created xsi:type="dcterms:W3CDTF">2012-10-15T14:28:55Z</dcterms:created>
  <dcterms:modified xsi:type="dcterms:W3CDTF">2013-03-26T12:09:33Z</dcterms:modified>
</cp:coreProperties>
</file>